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baird\Documents\"/>
    </mc:Choice>
  </mc:AlternateContent>
  <workbookProtection workbookAlgorithmName="SHA-512" workbookHashValue="bH6frQ8ZGfIxEKajgBRWltIM4h6olVB/JOXmKSgmYS5a8iKEB9OhFBBmHYuuF6pT307wYjhwqZaHVyTksV7CKw==" workbookSaltValue="HmlMtv/36/wqpWYEsug63g==" workbookSpinCount="100000" lockStructure="1"/>
  <bookViews>
    <workbookView xWindow="0" yWindow="0" windowWidth="20490" windowHeight="9050"/>
  </bookViews>
  <sheets>
    <sheet name="Info" sheetId="8" r:id="rId1"/>
    <sheet name="K8" sheetId="2" r:id="rId2"/>
    <sheet name="HS" sheetId="3" r:id="rId3"/>
    <sheet name="CB" sheetId="7" r:id="rId4"/>
  </sheets>
  <calcPr calcId="162913"/>
</workbook>
</file>

<file path=xl/calcChain.xml><?xml version="1.0" encoding="utf-8"?>
<calcChain xmlns="http://schemas.openxmlformats.org/spreadsheetml/2006/main">
  <c r="K4" i="3" l="1"/>
  <c r="K3" i="3"/>
  <c r="J5" i="3"/>
  <c r="J4" i="3"/>
  <c r="J3" i="3"/>
  <c r="I5" i="3"/>
  <c r="I4" i="3"/>
  <c r="I3" i="3"/>
  <c r="H5" i="3"/>
  <c r="H4" i="3"/>
  <c r="H3" i="3"/>
  <c r="G5" i="3"/>
  <c r="G4" i="3"/>
  <c r="G3" i="3"/>
  <c r="F5" i="3"/>
  <c r="F4" i="3"/>
  <c r="F3" i="3"/>
  <c r="H4" i="2"/>
  <c r="H3" i="2"/>
  <c r="G5" i="2"/>
  <c r="G4" i="2"/>
  <c r="G3" i="2"/>
  <c r="F5" i="2"/>
  <c r="F4" i="2"/>
  <c r="F3" i="2"/>
  <c r="B92" i="3" l="1"/>
  <c r="B36" i="2"/>
  <c r="L80" i="3" l="1"/>
  <c r="K80" i="3"/>
  <c r="E47" i="2"/>
  <c r="E46" i="2"/>
  <c r="E48" i="2" s="1"/>
  <c r="E49" i="2" s="1"/>
  <c r="E44" i="2"/>
  <c r="E43" i="2"/>
  <c r="E42" i="2"/>
  <c r="E41" i="2"/>
  <c r="E45" i="2" s="1"/>
  <c r="E12" i="2" l="1"/>
  <c r="B86" i="3" l="1"/>
  <c r="C86" i="3" s="1"/>
  <c r="C30" i="2" l="1"/>
  <c r="H73" i="3" l="1"/>
  <c r="H72" i="3"/>
  <c r="H71" i="3"/>
  <c r="H70" i="3"/>
  <c r="H66" i="3"/>
  <c r="H59" i="3"/>
  <c r="H56" i="3"/>
  <c r="G74" i="3"/>
  <c r="H48" i="3"/>
  <c r="H47" i="3"/>
  <c r="H46" i="3"/>
  <c r="H45" i="3"/>
  <c r="H44" i="3"/>
  <c r="H43" i="3"/>
  <c r="H42" i="3"/>
  <c r="H41" i="3"/>
  <c r="G48" i="3"/>
  <c r="G47" i="3"/>
  <c r="G46" i="3"/>
  <c r="G45" i="3"/>
  <c r="G44" i="3"/>
  <c r="G43" i="3"/>
  <c r="G42" i="3"/>
  <c r="G41" i="3"/>
  <c r="G49" i="3" s="1"/>
  <c r="K35" i="3"/>
  <c r="J35" i="3"/>
  <c r="H20" i="2"/>
  <c r="H19" i="2"/>
  <c r="H18" i="2"/>
  <c r="H17" i="2"/>
  <c r="H49" i="3" l="1"/>
  <c r="H21" i="2"/>
  <c r="F11" i="3"/>
  <c r="K36" i="3"/>
  <c r="P10" i="3" s="1"/>
  <c r="L81" i="3"/>
  <c r="F10" i="3" s="1"/>
  <c r="E11" i="2"/>
  <c r="E13" i="2"/>
  <c r="G20" i="2"/>
  <c r="G19" i="2"/>
  <c r="G18" i="2"/>
  <c r="G17" i="2"/>
  <c r="G21" i="2" l="1"/>
  <c r="L12" i="2" s="1"/>
  <c r="P11" i="3"/>
  <c r="E10" i="3"/>
  <c r="Q10" i="3"/>
  <c r="H22" i="2" l="1"/>
  <c r="D10" i="2" s="1"/>
  <c r="D11" i="2" s="1"/>
  <c r="B9" i="7" s="1"/>
  <c r="D12" i="2"/>
  <c r="E11" i="3"/>
  <c r="Q11" i="3"/>
  <c r="D13" i="2" l="1"/>
  <c r="F10" i="2" s="1"/>
  <c r="B8" i="7"/>
  <c r="L10" i="2"/>
  <c r="L13" i="2"/>
  <c r="M10" i="2" s="1"/>
  <c r="M11" i="2" s="1"/>
  <c r="L11" i="2"/>
  <c r="D8" i="7"/>
  <c r="F11" i="2" l="1"/>
  <c r="B10" i="7"/>
  <c r="F4" i="7"/>
  <c r="G9" i="7"/>
  <c r="G10" i="7"/>
  <c r="D9" i="7"/>
  <c r="C8" i="7" l="1"/>
  <c r="C9" i="7"/>
  <c r="H62" i="3"/>
  <c r="H74" i="3" l="1"/>
  <c r="H75" i="3" s="1"/>
  <c r="G10" i="3" s="1"/>
  <c r="F8" i="7" s="1"/>
  <c r="R10" i="3" l="1"/>
  <c r="H10" i="3" l="1"/>
  <c r="H50" i="3"/>
  <c r="H11" i="3"/>
  <c r="I29" i="3"/>
  <c r="G24" i="3"/>
  <c r="J23" i="3"/>
  <c r="F28" i="3"/>
  <c r="G27" i="3"/>
  <c r="J22" i="3"/>
  <c r="F17" i="3"/>
  <c r="H24" i="3"/>
  <c r="H23" i="3"/>
  <c r="H27" i="3"/>
  <c r="I22" i="3"/>
  <c r="F20" i="3"/>
  <c r="J17" i="3"/>
  <c r="I19" i="3"/>
  <c r="J28" i="3"/>
  <c r="F27" i="3"/>
  <c r="I18" i="3"/>
  <c r="H18" i="3"/>
  <c r="H22" i="3"/>
  <c r="G17" i="3"/>
  <c r="I17" i="3"/>
  <c r="G25" i="3"/>
  <c r="F26" i="3"/>
  <c r="F24" i="3"/>
  <c r="I24" i="3"/>
  <c r="H20" i="3"/>
  <c r="G29" i="3"/>
  <c r="H29" i="3"/>
  <c r="F15" i="3"/>
  <c r="F25" i="3"/>
  <c r="I16" i="3"/>
  <c r="J24" i="3"/>
  <c r="G18" i="3"/>
  <c r="J18" i="3"/>
  <c r="J26" i="3"/>
  <c r="J21" i="3"/>
  <c r="H21" i="3"/>
  <c r="J25" i="3"/>
  <c r="I25" i="3"/>
  <c r="H19" i="3"/>
  <c r="F18" i="3"/>
  <c r="G23" i="3"/>
  <c r="F16" i="3"/>
  <c r="J20" i="3"/>
  <c r="F29" i="3"/>
  <c r="I28" i="3"/>
  <c r="H16" i="3"/>
  <c r="G22" i="3"/>
  <c r="J19" i="3"/>
  <c r="F21" i="3"/>
  <c r="H26" i="3"/>
  <c r="J27" i="3"/>
  <c r="F23" i="3"/>
  <c r="H25" i="3"/>
  <c r="I21" i="3"/>
  <c r="G28" i="3"/>
  <c r="G20" i="3"/>
  <c r="J16" i="3"/>
  <c r="H28" i="3"/>
  <c r="J29" i="3"/>
  <c r="I26" i="3"/>
  <c r="I27" i="3"/>
  <c r="I20" i="3"/>
  <c r="H17" i="3"/>
  <c r="F22" i="3"/>
  <c r="G19" i="3"/>
  <c r="I23" i="3"/>
  <c r="G16" i="3"/>
  <c r="F19" i="3"/>
  <c r="G26" i="3"/>
  <c r="G21" i="3"/>
  <c r="O10" i="3"/>
  <c r="O11" i="3" s="1"/>
  <c r="G15" i="3"/>
  <c r="I15" i="3"/>
  <c r="J15" i="3"/>
  <c r="H15" i="3"/>
  <c r="G11" i="3"/>
  <c r="F9" i="7" s="1"/>
  <c r="R11" i="3"/>
  <c r="S23" i="3"/>
  <c r="S27" i="3"/>
  <c r="T16" i="3"/>
  <c r="U29" i="3"/>
  <c r="R18" i="3"/>
  <c r="S20" i="3"/>
  <c r="S18" i="3"/>
  <c r="T23" i="3"/>
  <c r="S19" i="3"/>
  <c r="R26" i="3"/>
  <c r="U15" i="3"/>
  <c r="U25" i="3"/>
  <c r="R22" i="3"/>
  <c r="R17" i="3"/>
  <c r="U24" i="3"/>
  <c r="R21" i="3"/>
  <c r="S24" i="3"/>
  <c r="R20" i="3"/>
  <c r="T21" i="3"/>
  <c r="S17" i="3"/>
  <c r="U18" i="3"/>
  <c r="T15" i="3"/>
  <c r="U22" i="3"/>
  <c r="U17" i="3"/>
  <c r="R16" i="3"/>
  <c r="T19" i="3"/>
  <c r="S16" i="3"/>
  <c r="T25" i="3"/>
  <c r="R15" i="3"/>
  <c r="S15" i="3"/>
  <c r="U19" i="3"/>
  <c r="T28" i="3"/>
  <c r="T18" i="3"/>
  <c r="D10" i="3"/>
  <c r="E8" i="7"/>
  <c r="D12" i="3" l="1"/>
  <c r="D13" i="3" s="1"/>
  <c r="F12" i="3"/>
  <c r="F13" i="3" s="1"/>
  <c r="G12" i="3"/>
  <c r="G13" i="3" s="1"/>
  <c r="E12" i="3"/>
  <c r="E13" i="3" s="1"/>
  <c r="H12" i="3"/>
  <c r="P12" i="3"/>
  <c r="P13" i="3" s="1"/>
  <c r="R12" i="3"/>
  <c r="R13" i="3" s="1"/>
  <c r="Q12" i="3"/>
  <c r="Q13" i="3" s="1"/>
  <c r="O12" i="3"/>
  <c r="O13" i="3" s="1"/>
  <c r="D11" i="3"/>
  <c r="E9" i="7"/>
  <c r="H13" i="3" l="1"/>
  <c r="I10" i="3"/>
  <c r="S10" i="3"/>
  <c r="S11" i="3" s="1"/>
  <c r="I11" i="3" l="1"/>
  <c r="E10" i="7"/>
  <c r="G4" i="7"/>
  <c r="H4" i="7" s="1"/>
  <c r="H9" i="7"/>
  <c r="H10" i="7"/>
  <c r="D10" i="7"/>
  <c r="C10" i="7"/>
  <c r="F10" i="7"/>
  <c r="H8" i="7"/>
  <c r="E10" i="2" l="1"/>
  <c r="G8" i="7"/>
  <c r="B30" i="2"/>
  <c r="D30" i="2" s="1"/>
</calcChain>
</file>

<file path=xl/sharedStrings.xml><?xml version="1.0" encoding="utf-8"?>
<sst xmlns="http://schemas.openxmlformats.org/spreadsheetml/2006/main" count="249" uniqueCount="178">
  <si>
    <t>Subject</t>
  </si>
  <si>
    <t>Sum</t>
  </si>
  <si>
    <t>Weight</t>
  </si>
  <si>
    <t>Dropout/Credit Index</t>
  </si>
  <si>
    <t>Carnegie Units (Index Point Award)</t>
  </si>
  <si>
    <t>Total Number of Students</t>
  </si>
  <si>
    <t>Total Index Points Awarded</t>
  </si>
  <si>
    <t>7 or more (150)</t>
  </si>
  <si>
    <t>6.5 (125)</t>
  </si>
  <si>
    <t>6 (100)</t>
  </si>
  <si>
    <t>5.5 (75)</t>
  </si>
  <si>
    <t>5 (50)</t>
  </si>
  <si>
    <t>4.5 (25)</t>
  </si>
  <si>
    <t>4 or less (0)</t>
  </si>
  <si>
    <t>Dropout (0)</t>
  </si>
  <si>
    <t>Dropout/Credit Accumulation Index</t>
  </si>
  <si>
    <t xml:space="preserve"> Dropout/Credit Accumulation Index</t>
  </si>
  <si>
    <t>Total Points</t>
  </si>
  <si>
    <t>Student Result</t>
  </si>
  <si>
    <t>HS Diploma plus</t>
  </si>
  <si>
    <t xml:space="preserve">    (a) AP (3+), IB (4+), or CLEP (50+) OR </t>
  </si>
  <si>
    <t xml:space="preserve">    (b) Advanced statewide Jump Start credential.</t>
  </si>
  <si>
    <t xml:space="preserve">    (b) Basic statewide Jump Start credential</t>
  </si>
  <si>
    <t xml:space="preserve">    (b) Basic statewide Jump Start credential </t>
  </si>
  <si>
    <t>Regular HS Diploma (Four-year graduate - Includes Career Diploma student with a regional Jump Start credential)</t>
  </si>
  <si>
    <t>HiSET</t>
  </si>
  <si>
    <t>Non-graduate without HiSET</t>
  </si>
  <si>
    <t>Points for Each</t>
  </si>
  <si>
    <t xml:space="preserve">    (a) At least one passing course grade for TOPS core curriculum credit of the following type: AP**, college credit, dual enrollment, or IB**;  AND</t>
  </si>
  <si>
    <t>**Students must take the AP/IB exam and pass the course.</t>
  </si>
  <si>
    <t xml:space="preserve">    (a) At least one passing course grade for TOPS core curriculum credit of the following type: AP**, college credit, dual enrollment, or IB**;  OR</t>
  </si>
  <si>
    <t xml:space="preserve">   (a) AP (3+), IB (4+), or CLEP (50+) AND Advanced statewide Jump Start credential OR</t>
  </si>
  <si>
    <t xml:space="preserve">   (b) Earning an associate's degree</t>
  </si>
  <si>
    <t>HiSET plus Jump Start credential</t>
  </si>
  <si>
    <t>HS SPS Calculator</t>
  </si>
  <si>
    <t>K-8 SPS Calculator</t>
  </si>
  <si>
    <t>case</t>
  </si>
  <si>
    <t>situations</t>
  </si>
  <si>
    <t>K-8</t>
  </si>
  <si>
    <t>K8 SPS</t>
  </si>
  <si>
    <t>Index</t>
  </si>
  <si>
    <t>Combination SPS Calculator</t>
  </si>
  <si>
    <t>HS SPS</t>
  </si>
  <si>
    <t xml:space="preserve">Number of Eligible Testers </t>
  </si>
  <si>
    <t xml:space="preserve"> HS*</t>
  </si>
  <si>
    <t>K-8 SPS</t>
  </si>
  <si>
    <t>CB SPS</t>
  </si>
  <si>
    <t xml:space="preserve">What is the School Performance Score (SPS) Calculator?
</t>
  </si>
  <si>
    <t xml:space="preserve">How does the calculator work?
</t>
  </si>
  <si>
    <r>
      <t xml:space="preserve">The calculator has two types of fields.  
- Shaded cells:  Do not allow users to input data, as they are prepopulated for calculation purposes. 
- White cells:  For user input data.  </t>
    </r>
    <r>
      <rPr>
        <sz val="11"/>
        <color indexed="8"/>
        <rFont val="Calibri"/>
        <family val="2"/>
        <scheme val="minor"/>
      </rPr>
      <t>When data are added to white cells, new data will be populated in the shaded cells.</t>
    </r>
    <r>
      <rPr>
        <i/>
        <sz val="11"/>
        <color indexed="8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
</t>
    </r>
  </si>
  <si>
    <t xml:space="preserve">Which tables should be completed?
</t>
  </si>
  <si>
    <t>K-8 Progress Index</t>
  </si>
  <si>
    <r>
      <rPr>
        <sz val="11"/>
        <rFont val="Calibri"/>
        <family val="2"/>
        <scheme val="minor"/>
      </rPr>
      <t xml:space="preserve">Combination schools (includes at least one grade in 3-8 span and one grade from 9-12 span):  complete all tables in tabs </t>
    </r>
    <r>
      <rPr>
        <b/>
        <sz val="11"/>
        <rFont val="Calibri"/>
        <family val="2"/>
        <scheme val="minor"/>
      </rPr>
      <t>K8</t>
    </r>
    <r>
      <rPr>
        <sz val="11"/>
        <rFont val="Calibri"/>
        <family val="2"/>
        <scheme val="minor"/>
      </rPr>
      <t xml:space="preserve"> and </t>
    </r>
    <r>
      <rPr>
        <b/>
        <sz val="11"/>
        <rFont val="Calibri"/>
        <family val="2"/>
        <scheme val="minor"/>
      </rPr>
      <t>HS</t>
    </r>
    <r>
      <rPr>
        <sz val="11"/>
        <rFont val="Calibri"/>
        <family val="2"/>
        <scheme val="minor"/>
      </rPr>
      <t>, as appropriate per grade level configuration.</t>
    </r>
  </si>
  <si>
    <t>Number of students who earned (150)</t>
  </si>
  <si>
    <t>Number of students who earned (115)</t>
  </si>
  <si>
    <t>Number of students who earned (85)</t>
  </si>
  <si>
    <t>Number of students who earned  (25)</t>
  </si>
  <si>
    <t>Number of students who earned (0)</t>
  </si>
  <si>
    <t>Number of students who earned  (150)</t>
  </si>
  <si>
    <t>Number of students who earned  (115)</t>
  </si>
  <si>
    <t>Total number of students</t>
  </si>
  <si>
    <t>Total points awarded</t>
  </si>
  <si>
    <t>Number of students who earned  (85)</t>
  </si>
  <si>
    <t>Number of Students*</t>
  </si>
  <si>
    <t>For students who score Mastery in the current year, the floor, or lowest possible points awarded to them in the progress index, is 85.</t>
  </si>
  <si>
    <t>K8 Progress Index</t>
  </si>
  <si>
    <t>HS Progress Index</t>
  </si>
  <si>
    <t>For students who score Mastery in the current year, the lowest possible points awarded to them in the progress index is 85.</t>
  </si>
  <si>
    <t>Students must be eligible for Steps 1 and 2 to be included in the progress index.</t>
  </si>
  <si>
    <t xml:space="preserve">                                                   Sum                           </t>
  </si>
  <si>
    <t>3 or more  (150)</t>
  </si>
  <si>
    <t>2.5 (125)</t>
  </si>
  <si>
    <t>2 (100)</t>
  </si>
  <si>
    <t>1.5 (75)</t>
  </si>
  <si>
    <t>1 (50)</t>
  </si>
  <si>
    <t>0.5 (25)</t>
  </si>
  <si>
    <t>0  (0)</t>
  </si>
  <si>
    <t xml:space="preserve">                                                  Core Academic Credits One Semester (Index Point Award) </t>
  </si>
  <si>
    <t>HS Core Academic Credit Accumulation Index</t>
  </si>
  <si>
    <t>HS Core Academic Index</t>
  </si>
  <si>
    <t xml:space="preserve">Sum </t>
  </si>
  <si>
    <t>Credential Attainment Index</t>
  </si>
  <si>
    <t>HS Credential Attainment Index</t>
  </si>
  <si>
    <t>K-8 Progress Index*</t>
  </si>
  <si>
    <t>25% Progress Index, 25% Core Academic, 25% DCAI, 25% Credential</t>
  </si>
  <si>
    <t>33% Progress Index, 33% Core Academic, 33% DCAI, 0% Credential</t>
  </si>
  <si>
    <t>33% Progress Index, 33% Core Academic, 0% DCAI, 33% Credential</t>
  </si>
  <si>
    <t>33% Progress Index,0% Core Academic, 33% DCAI, 33% Credential</t>
  </si>
  <si>
    <t>0% Progress Index, 33% Core Academic, 33% DCAI, 33% Credential</t>
  </si>
  <si>
    <t>50% Progress Index, 50% Core Academic, 0% DCAI, 0% Credential</t>
  </si>
  <si>
    <t>50% Progress Index, 0% Core Academic, 50% DCAI, 0% Credential</t>
  </si>
  <si>
    <t>50% Progress Index, 0% Core Academic, 0% DCAI, 50% Credential</t>
  </si>
  <si>
    <t>0% Progress Index, 50% Core Academic, 50% DCAI, 0% Credential</t>
  </si>
  <si>
    <t>0% Progress Index, 50% Core Academic, 0% DCAI, 50% Credential</t>
  </si>
  <si>
    <t>0% Progress Index, 0% Core Academic, 50% DCAI, 50% Credential</t>
  </si>
  <si>
    <t>100% Progress Index, 0% Core Academic, 0% DCAI, 0% Credential</t>
  </si>
  <si>
    <t>0% Progress Index, 100% Core Academic, 0% DCAI, 0% Credential</t>
  </si>
  <si>
    <t>0% Progress Index, 0% Core Academic, 100% DCAI, 0% Credential</t>
  </si>
  <si>
    <t>0% Progress Index, 0% Core Academic, 0% DCAI, 100% Credential</t>
  </si>
  <si>
    <t>Progress Index</t>
  </si>
  <si>
    <t>Core Academic</t>
  </si>
  <si>
    <t>DCAI</t>
  </si>
  <si>
    <t>Credential</t>
  </si>
  <si>
    <t>Student Count</t>
  </si>
  <si>
    <t>Dropout(0)</t>
  </si>
  <si>
    <t>HS Progress Index*</t>
  </si>
  <si>
    <t>*Beginning with the 2019 school performance score, the high school progress index will be based on data from the prior year and current year.</t>
  </si>
  <si>
    <t>Number of Students</t>
  </si>
  <si>
    <r>
      <rPr>
        <sz val="11"/>
        <rFont val="Calibri"/>
        <family val="2"/>
        <scheme val="minor"/>
      </rPr>
      <t>K8 Schools (includes one or more grades in 3-8 grade span)</t>
    </r>
    <r>
      <rPr>
        <sz val="11"/>
        <color theme="1"/>
        <rFont val="Calibri"/>
        <family val="2"/>
        <scheme val="minor"/>
      </rPr>
      <t xml:space="preserve">: complete all tables as appropriate in tab </t>
    </r>
    <r>
      <rPr>
        <b/>
        <sz val="11"/>
        <color theme="1"/>
        <rFont val="Calibri"/>
        <family val="2"/>
        <scheme val="minor"/>
      </rPr>
      <t xml:space="preserve">K8. </t>
    </r>
    <r>
      <rPr>
        <sz val="11"/>
        <rFont val="Calibri"/>
        <family val="2"/>
        <scheme val="minor"/>
      </rPr>
      <t xml:space="preserve">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</t>
    </r>
  </si>
  <si>
    <t>k8 Interests and Opportunities Index</t>
  </si>
  <si>
    <t>K-8 SPS Calculator Include Interests and Opportunities</t>
  </si>
  <si>
    <t>K-8 SPS Calculator Exclude Interests and Opportunities</t>
  </si>
  <si>
    <t xml:space="preserve"> K-8 Interests and Opportunities Index</t>
  </si>
  <si>
    <t>Survey Completion</t>
  </si>
  <si>
    <t>Course Enrollment</t>
  </si>
  <si>
    <t>Interests and Opportunities Index*</t>
  </si>
  <si>
    <t xml:space="preserve"> K-8 Survey Completion Index</t>
  </si>
  <si>
    <t xml:space="preserve"> K-8 Course Enrollment Index</t>
  </si>
  <si>
    <r>
      <t xml:space="preserve"># of student enrolled </t>
    </r>
    <r>
      <rPr>
        <b/>
        <sz val="9"/>
        <color theme="1"/>
        <rFont val="Calibri"/>
        <family val="2"/>
      </rPr>
      <t>as of October 1</t>
    </r>
  </si>
  <si>
    <t>Total Students Weighted</t>
  </si>
  <si>
    <t>Numerator</t>
  </si>
  <si>
    <t>Physical Education and/or Health</t>
  </si>
  <si>
    <t>Visual Arts</t>
  </si>
  <si>
    <t>Performing Arts</t>
  </si>
  <si>
    <t>World Language</t>
  </si>
  <si>
    <t>Numerator Total</t>
  </si>
  <si>
    <t>Denominator</t>
  </si>
  <si>
    <t>Total grades K-8 students</t>
  </si>
  <si>
    <t>Total grades 4-8 students</t>
  </si>
  <si>
    <t>Denominator total</t>
  </si>
  <si>
    <t>Course Enrollment Index*</t>
  </si>
  <si>
    <t xml:space="preserve"> HS Interests and Opportunities Index</t>
  </si>
  <si>
    <t>Interests and Opportunities Index *</t>
  </si>
  <si>
    <t xml:space="preserve"> HS Survey Completion Index</t>
  </si>
  <si>
    <t xml:space="preserve">Survey Completion </t>
  </si>
  <si>
    <t>K8 Interests and Opportunities Index</t>
  </si>
  <si>
    <t>HS Interests and Opportunities Index</t>
  </si>
  <si>
    <t>Survey Completion True/False</t>
  </si>
  <si>
    <t>*Please click Survey Completion checkbox above if it is completed, otherwise leave it blank.</t>
  </si>
  <si>
    <t>*The Course Enrollment Score is definded as the percent of grade K-8 students enrolled in physical education, visual arts, performing arts and world language courses.</t>
  </si>
  <si>
    <t>HS Interest</t>
  </si>
  <si>
    <t>25% Progress Index, 25% Core Academic, 25% DCAI, 20% Credential</t>
  </si>
  <si>
    <t>31.67% Progress Index, 31.67% Core Academic, 31.67% DCAI, 0% Credential</t>
  </si>
  <si>
    <t>33.33% Progress Index, 33.33% Core Academic, 0% DCAI, 28.33% Credential</t>
  </si>
  <si>
    <t>33.33% Progress Index,0% Core Academic, 33.33% DCAI, 28.33% Credential</t>
  </si>
  <si>
    <t>0% Progress Index, 33.33% Core Academic, 33.33% DCAI, 28.33% Credential</t>
  </si>
  <si>
    <t>47.50% Progress Index, 47.50% Core Academic, 0% DCAI, 0% Credential</t>
  </si>
  <si>
    <t>47.50% Progress Index, 0% Core Academic, 47.50% DCAI, 0% Credential</t>
  </si>
  <si>
    <t>50% Progress Index, 0% Core Academic, 0% DCAI, 45% Credential</t>
  </si>
  <si>
    <t>0% Progress Index, 47.50% Core Academic, 47.50% DCAI, 0% Credential</t>
  </si>
  <si>
    <t>0% Progress Index, 50% Core Academic, 0% DCAI, 45% Credential</t>
  </si>
  <si>
    <t>0% Progress Index, 0% Core Academic, 50% DCAI, 45% Credential</t>
  </si>
  <si>
    <t>95% Progress Index, 0% Core Academic, 0% DCAI, 0% Credential</t>
  </si>
  <si>
    <t>0% Progress Index, 95% Core Academic, 0% DCAI, 0% Credential</t>
  </si>
  <si>
    <t>0% Progress Index, 0% Core Academic, 95% DCAI, 0% Credential</t>
  </si>
  <si>
    <t>0% Progress Index, 0% Core Academic, 0% DCAI, 95% Credential</t>
  </si>
  <si>
    <t>Letter Grade</t>
  </si>
  <si>
    <t>HS SPS Calculator Include Interests and Opportunities</t>
  </si>
  <si>
    <t>HS SPS Calculator Exclude Interests and Opportunities</t>
  </si>
  <si>
    <t>2020-2021 ELA</t>
  </si>
  <si>
    <t>2020-2021 Math</t>
  </si>
  <si>
    <t>2020-2021 English I</t>
  </si>
  <si>
    <t>2020-2021  English II</t>
  </si>
  <si>
    <t>2020-2021 Algebra I</t>
  </si>
  <si>
    <t>2020-2021 Geometry</t>
  </si>
  <si>
    <t xml:space="preserve">*Include only those students who are full academic year (FAY) for 9th/transitional 9th to 12th grade, unless the student is a dropout. </t>
  </si>
  <si>
    <t>* In the 2021-2022 school year, the interests and opportunities index for K-8 will be based in equal parts on survey and course enrollment.</t>
  </si>
  <si>
    <t>2021-2022 ELA</t>
  </si>
  <si>
    <t>2021-2022 Math</t>
  </si>
  <si>
    <t>*In the 2021-2022 school year, the interests and opportunities index for high school will be based on survey completion.</t>
  </si>
  <si>
    <t>2021-2022 English I</t>
  </si>
  <si>
    <t>2021-2022  English II</t>
  </si>
  <si>
    <t>2021-2022 Algebra I</t>
  </si>
  <si>
    <t>2021-2022 Geometry</t>
  </si>
  <si>
    <r>
      <t xml:space="preserve">
High schools (includes one or more grades in 9-12 grade span): complete all tables as appropriate in tab </t>
    </r>
    <r>
      <rPr>
        <b/>
        <sz val="11"/>
        <color theme="1"/>
        <rFont val="Calibri"/>
        <family val="2"/>
        <scheme val="minor"/>
      </rPr>
      <t xml:space="preserve">HS.
</t>
    </r>
  </si>
  <si>
    <r>
      <t xml:space="preserve">The SPS calculator is an Excel tool that helps schools </t>
    </r>
    <r>
      <rPr>
        <b/>
        <sz val="11"/>
        <rFont val="Calibri"/>
        <family val="2"/>
        <scheme val="minor"/>
      </rPr>
      <t>estimate</t>
    </r>
    <r>
      <rPr>
        <sz val="11"/>
        <rFont val="Calibri"/>
        <family val="2"/>
        <scheme val="minor"/>
      </rPr>
      <t xml:space="preserve"> the school performance score for 2021-2022. Please note that there will no alternative assessment index data or progress index data available for the calculator. School performance scores (SPS) that are generated with the 2021-2022 calculator should not be used in comparisons with prior year SPS.
For 2021-2022, there is one calculator with three different tabs: </t>
    </r>
    <r>
      <rPr>
        <b/>
        <i/>
        <sz val="11"/>
        <rFont val="Calibri"/>
        <family val="2"/>
        <scheme val="minor"/>
      </rPr>
      <t>K8, HS and CB</t>
    </r>
    <r>
      <rPr>
        <sz val="11"/>
        <rFont val="Calibri"/>
        <family val="2"/>
        <scheme val="minor"/>
      </rPr>
      <t xml:space="preserve">. Each tab is built to calculate SPS for schools with different grades accordingly. </t>
    </r>
  </si>
  <si>
    <t>* Number of LEAP high school assessment, ELPT and ACT testers, and cohort members if applicable; students who took both LEAP high school test(s), ELPT and ACT only count as one tester for weighting.</t>
  </si>
  <si>
    <t>* The K8 Progress Index is based on the school's average growth for two years. Scores from the Innovative Assessment Program are not used in progress in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</si>
</sst>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_);\(0\)"/>
    <numFmt numFmtId="166" formatCode="0.000"/>
    <numFmt numFmtId="167" formatCode="0.0_);\(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4">
    <xf numFmtId="0" fontId="0" fillId="0" borderId="0"/>
    <xf numFmtId="0" fontId="2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</cellStyleXfs>
  <cellXfs count="220">
    <xf numFmtId="0" fontId="0" fillId="0" borderId="0" xfId="0"/>
    <xf numFmtId="164" fontId="11" fillId="3" borderId="1" xfId="30" applyNumberFormat="1" applyFont="1" applyFill="1" applyBorder="1" applyAlignment="1" applyProtection="1">
      <alignment vertical="center"/>
      <protection hidden="1"/>
    </xf>
    <xf numFmtId="164" fontId="11" fillId="3" borderId="1" xfId="30" applyNumberFormat="1" applyFont="1" applyFill="1" applyBorder="1" applyAlignment="1" applyProtection="1">
      <alignment vertical="center" wrapText="1"/>
      <protection hidden="1"/>
    </xf>
    <xf numFmtId="0" fontId="10" fillId="3" borderId="1" xfId="30" applyFont="1" applyFill="1" applyBorder="1" applyAlignment="1" applyProtection="1">
      <alignment horizontal="center" vertical="center" wrapText="1"/>
      <protection hidden="1"/>
    </xf>
    <xf numFmtId="0" fontId="12" fillId="3" borderId="1" xfId="3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2" borderId="0" xfId="25" applyFont="1" applyFill="1" applyAlignment="1" applyProtection="1">
      <alignment horizontal="justify" vertical="top" wrapText="1"/>
      <protection hidden="1"/>
    </xf>
    <xf numFmtId="0" fontId="9" fillId="0" borderId="0" xfId="0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" fillId="4" borderId="0" xfId="25" applyFont="1" applyFill="1" applyAlignment="1" applyProtection="1">
      <alignment horizontal="justify" vertical="center"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4" borderId="0" xfId="25" applyFont="1" applyFill="1" applyBorder="1" applyAlignment="1" applyProtection="1">
      <alignment horizontal="center"/>
      <protection hidden="1"/>
    </xf>
    <xf numFmtId="0" fontId="2" fillId="0" borderId="0" xfId="25" applyProtection="1">
      <protection hidden="1"/>
    </xf>
    <xf numFmtId="0" fontId="14" fillId="2" borderId="0" xfId="25" applyFont="1" applyFill="1" applyAlignment="1" applyProtection="1">
      <alignment horizontal="justify" wrapText="1"/>
      <protection hidden="1"/>
    </xf>
    <xf numFmtId="0" fontId="14" fillId="2" borderId="0" xfId="25" applyFont="1" applyFill="1" applyAlignment="1" applyProtection="1">
      <alignment horizontal="left" vertical="center" wrapText="1"/>
      <protection hidden="1"/>
    </xf>
    <xf numFmtId="0" fontId="15" fillId="2" borderId="3" xfId="25" applyFont="1" applyFill="1" applyBorder="1" applyAlignment="1" applyProtection="1">
      <alignment horizontal="left" vertical="top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6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164" fontId="8" fillId="5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2" borderId="1" xfId="25" applyFont="1" applyFill="1" applyBorder="1" applyAlignment="1" applyProtection="1">
      <alignment horizontal="center" wrapText="1"/>
      <protection locked="0"/>
    </xf>
    <xf numFmtId="164" fontId="9" fillId="7" borderId="1" xfId="0" applyNumberFormat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9" fontId="9" fillId="7" borderId="1" xfId="0" applyNumberFormat="1" applyFont="1" applyFill="1" applyBorder="1" applyAlignment="1" applyProtection="1">
      <alignment horizontal="center" vertical="center"/>
      <protection hidden="1"/>
    </xf>
    <xf numFmtId="165" fontId="12" fillId="7" borderId="1" xfId="29" applyNumberFormat="1" applyFont="1" applyFill="1" applyBorder="1" applyAlignment="1" applyProtection="1">
      <alignment horizontal="center" wrapText="1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5" fillId="2" borderId="0" xfId="25" applyFont="1" applyFill="1" applyAlignment="1" applyProtection="1">
      <alignment horizontal="left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7" borderId="16" xfId="0" applyFont="1" applyFill="1" applyBorder="1" applyAlignment="1" applyProtection="1">
      <alignment horizontal="center" vertical="center"/>
      <protection hidden="1"/>
    </xf>
    <xf numFmtId="0" fontId="0" fillId="2" borderId="17" xfId="25" applyFont="1" applyFill="1" applyBorder="1" applyAlignment="1" applyProtection="1">
      <alignment horizontal="left" vertical="center" wrapText="1"/>
      <protection hidden="1"/>
    </xf>
    <xf numFmtId="0" fontId="0" fillId="2" borderId="18" xfId="25" applyFont="1" applyFill="1" applyBorder="1" applyAlignment="1" applyProtection="1">
      <alignment horizontal="left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25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Alignment="1" applyProtection="1">
      <protection hidden="1"/>
    </xf>
    <xf numFmtId="0" fontId="10" fillId="3" borderId="1" xfId="3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3" borderId="2" xfId="30" applyFont="1" applyFill="1" applyBorder="1" applyAlignment="1" applyProtection="1">
      <alignment vertical="center"/>
      <protection hidden="1"/>
    </xf>
    <xf numFmtId="0" fontId="10" fillId="3" borderId="5" xfId="30" applyFont="1" applyFill="1" applyBorder="1" applyAlignment="1" applyProtection="1">
      <alignment vertical="center"/>
      <protection hidden="1"/>
    </xf>
    <xf numFmtId="0" fontId="10" fillId="3" borderId="4" xfId="30" applyFont="1" applyFill="1" applyBorder="1" applyAlignment="1" applyProtection="1">
      <alignment vertical="center"/>
      <protection hidden="1"/>
    </xf>
    <xf numFmtId="1" fontId="10" fillId="7" borderId="1" xfId="0" applyNumberFormat="1" applyFont="1" applyFill="1" applyBorder="1" applyAlignment="1" applyProtection="1">
      <alignment horizontal="center" vertical="center"/>
      <protection hidden="1"/>
    </xf>
    <xf numFmtId="1" fontId="9" fillId="7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9" fontId="8" fillId="5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protection hidden="1"/>
    </xf>
    <xf numFmtId="10" fontId="9" fillId="7" borderId="1" xfId="0" applyNumberFormat="1" applyFont="1" applyFill="1" applyBorder="1" applyAlignment="1" applyProtection="1">
      <alignment horizontal="center" vertical="center"/>
      <protection hidden="1"/>
    </xf>
    <xf numFmtId="10" fontId="8" fillId="5" borderId="1" xfId="0" applyNumberFormat="1" applyFont="1" applyFill="1" applyBorder="1" applyAlignment="1" applyProtection="1">
      <alignment horizontal="center" vertical="center"/>
      <protection hidden="1"/>
    </xf>
    <xf numFmtId="164" fontId="10" fillId="7" borderId="1" xfId="0" applyNumberFormat="1" applyFont="1" applyFill="1" applyBorder="1" applyAlignment="1" applyProtection="1">
      <alignment horizontal="center" vertical="center"/>
      <protection hidden="1"/>
    </xf>
    <xf numFmtId="167" fontId="12" fillId="7" borderId="1" xfId="29" applyNumberFormat="1" applyFont="1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hidden="1"/>
    </xf>
    <xf numFmtId="164" fontId="9" fillId="7" borderId="2" xfId="0" applyNumberFormat="1" applyFont="1" applyFill="1" applyBorder="1" applyAlignment="1" applyProtection="1">
      <alignment horizontal="center" vertical="center"/>
      <protection hidden="1"/>
    </xf>
    <xf numFmtId="164" fontId="2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ont="1" applyBorder="1" applyAlignment="1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hidden="1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166" fontId="9" fillId="0" borderId="0" xfId="0" applyNumberFormat="1" applyFont="1" applyAlignment="1" applyProtection="1">
      <alignment horizontal="center" vertical="center"/>
      <protection hidden="1"/>
    </xf>
    <xf numFmtId="1" fontId="9" fillId="7" borderId="2" xfId="0" applyNumberFormat="1" applyFont="1" applyFill="1" applyBorder="1" applyAlignment="1" applyProtection="1">
      <alignment horizontal="center" vertical="center"/>
      <protection hidden="1"/>
    </xf>
    <xf numFmtId="10" fontId="9" fillId="7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5" xfId="25" applyFont="1" applyFill="1" applyBorder="1" applyAlignment="1" applyProtection="1">
      <alignment horizontal="center" vertical="center" wrapText="1"/>
      <protection hidden="1"/>
    </xf>
    <xf numFmtId="0" fontId="12" fillId="3" borderId="2" xfId="25" applyFont="1" applyFill="1" applyBorder="1" applyAlignment="1" applyProtection="1">
      <alignment horizontal="center" vertical="center" wrapText="1"/>
      <protection hidden="1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hidden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 applyProtection="1">
      <alignment horizontal="center" vertical="center" wrapText="1"/>
      <protection hidden="1"/>
    </xf>
    <xf numFmtId="0" fontId="12" fillId="3" borderId="5" xfId="1" applyFont="1" applyFill="1" applyBorder="1" applyAlignment="1" applyProtection="1">
      <alignment horizontal="center" vertical="center" wrapText="1"/>
      <protection hidden="1"/>
    </xf>
    <xf numFmtId="0" fontId="12" fillId="3" borderId="4" xfId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10" fillId="0" borderId="12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2" xfId="1" applyFont="1" applyBorder="1" applyAlignment="1" applyProtection="1">
      <alignment horizontal="left" vertical="center"/>
      <protection hidden="1"/>
    </xf>
    <xf numFmtId="0" fontId="10" fillId="6" borderId="2" xfId="0" applyFont="1" applyFill="1" applyBorder="1" applyAlignment="1" applyProtection="1">
      <alignment horizontal="left" vertical="center"/>
      <protection hidden="1"/>
    </xf>
    <xf numFmtId="0" fontId="10" fillId="6" borderId="5" xfId="0" applyFont="1" applyFill="1" applyBorder="1" applyAlignment="1" applyProtection="1">
      <alignment horizontal="left" vertical="center"/>
      <protection hidden="1"/>
    </xf>
    <xf numFmtId="0" fontId="10" fillId="6" borderId="4" xfId="0" applyFont="1" applyFill="1" applyBorder="1" applyAlignment="1" applyProtection="1">
      <alignment horizontal="left" vertical="center"/>
      <protection hidden="1"/>
    </xf>
    <xf numFmtId="0" fontId="10" fillId="3" borderId="9" xfId="0" applyFont="1" applyFill="1" applyBorder="1" applyAlignment="1" applyProtection="1">
      <alignment horizontal="left"/>
      <protection hidden="1"/>
    </xf>
    <xf numFmtId="0" fontId="10" fillId="3" borderId="12" xfId="0" applyFont="1" applyFill="1" applyBorder="1" applyAlignment="1" applyProtection="1">
      <alignment horizontal="left"/>
      <protection hidden="1"/>
    </xf>
    <xf numFmtId="0" fontId="10" fillId="3" borderId="8" xfId="0" applyFont="1" applyFill="1" applyBorder="1" applyAlignment="1" applyProtection="1">
      <alignment horizontal="left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 applyProtection="1">
      <alignment horizontal="center" vertical="center"/>
      <protection hidden="1"/>
    </xf>
    <xf numFmtId="0" fontId="9" fillId="7" borderId="14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left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0" fontId="10" fillId="3" borderId="11" xfId="0" applyFont="1" applyFill="1" applyBorder="1" applyAlignment="1" applyProtection="1">
      <alignment horizontal="left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10" fillId="3" borderId="11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11" xfId="0" applyFont="1" applyFill="1" applyBorder="1" applyAlignment="1" applyProtection="1">
      <alignment horizontal="left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 wrapText="1"/>
      <protection hidden="1"/>
    </xf>
    <xf numFmtId="0" fontId="12" fillId="3" borderId="15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3" borderId="7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5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10" fillId="3" borderId="10" xfId="0" applyFont="1" applyFill="1" applyBorder="1" applyAlignment="1" applyProtection="1">
      <alignment horizontal="left" vertical="center" wrapText="1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7" xfId="0" applyFont="1" applyFill="1" applyBorder="1" applyAlignment="1" applyProtection="1">
      <alignment horizontal="left" vertical="center" wrapText="1"/>
      <protection hidden="1"/>
    </xf>
    <xf numFmtId="0" fontId="12" fillId="3" borderId="2" xfId="30" applyFont="1" applyFill="1" applyBorder="1" applyAlignment="1" applyProtection="1">
      <alignment horizontal="center" vertical="center" wrapText="1"/>
      <protection hidden="1"/>
    </xf>
    <xf numFmtId="0" fontId="12" fillId="3" borderId="4" xfId="30" applyFont="1" applyFill="1" applyBorder="1" applyAlignment="1" applyProtection="1">
      <alignment horizontal="center" vertical="center" wrapText="1"/>
      <protection hidden="1"/>
    </xf>
    <xf numFmtId="0" fontId="13" fillId="2" borderId="2" xfId="25" applyFont="1" applyFill="1" applyBorder="1" applyAlignment="1" applyProtection="1">
      <alignment horizontal="center" wrapText="1"/>
      <protection locked="0"/>
    </xf>
    <xf numFmtId="0" fontId="13" fillId="2" borderId="4" xfId="25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0" fillId="3" borderId="1" xfId="0" applyFont="1" applyFill="1" applyBorder="1" applyAlignment="1" applyProtection="1">
      <alignment horizontal="left" vertical="center"/>
      <protection hidden="1"/>
    </xf>
    <xf numFmtId="0" fontId="10" fillId="3" borderId="9" xfId="0" applyFont="1" applyFill="1" applyBorder="1" applyAlignment="1" applyProtection="1">
      <alignment horizontal="left" vertical="center" wrapText="1"/>
      <protection hidden="1"/>
    </xf>
    <xf numFmtId="0" fontId="10" fillId="3" borderId="12" xfId="0" applyFont="1" applyFill="1" applyBorder="1" applyAlignment="1" applyProtection="1">
      <alignment horizontal="left" vertical="center" wrapText="1"/>
      <protection hidden="1"/>
    </xf>
    <xf numFmtId="0" fontId="10" fillId="3" borderId="8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3" borderId="10" xfId="0" applyFont="1" applyFill="1" applyBorder="1" applyAlignment="1" applyProtection="1">
      <alignment horizontal="left" vertical="center"/>
      <protection hidden="1"/>
    </xf>
    <xf numFmtId="0" fontId="10" fillId="3" borderId="3" xfId="0" applyFont="1" applyFill="1" applyBorder="1" applyAlignment="1" applyProtection="1">
      <alignment horizontal="left" vertical="center"/>
      <protection hidden="1"/>
    </xf>
    <xf numFmtId="0" fontId="10" fillId="3" borderId="7" xfId="0" applyFont="1" applyFill="1" applyBorder="1" applyAlignment="1" applyProtection="1">
      <alignment horizontal="left" vertical="center"/>
      <protection hidden="1"/>
    </xf>
    <xf numFmtId="0" fontId="12" fillId="3" borderId="2" xfId="30" applyFont="1" applyFill="1" applyBorder="1" applyAlignment="1" applyProtection="1">
      <alignment horizontal="center" vertical="center"/>
      <protection hidden="1"/>
    </xf>
    <xf numFmtId="0" fontId="12" fillId="3" borderId="5" xfId="30" applyFont="1" applyFill="1" applyBorder="1" applyAlignment="1" applyProtection="1">
      <alignment horizontal="center" vertical="center"/>
      <protection hidden="1"/>
    </xf>
    <xf numFmtId="0" fontId="12" fillId="3" borderId="4" xfId="30" applyFont="1" applyFill="1" applyBorder="1" applyAlignment="1" applyProtection="1">
      <alignment horizontal="center" vertical="center"/>
      <protection hidden="1"/>
    </xf>
    <xf numFmtId="164" fontId="6" fillId="4" borderId="2" xfId="30" applyNumberFormat="1" applyFont="1" applyFill="1" applyBorder="1" applyAlignment="1" applyProtection="1">
      <alignment horizontal="center" vertical="center"/>
      <protection hidden="1"/>
    </xf>
    <xf numFmtId="164" fontId="6" fillId="4" borderId="5" xfId="30" applyNumberFormat="1" applyFont="1" applyFill="1" applyBorder="1" applyAlignment="1" applyProtection="1">
      <alignment horizontal="center" vertical="center"/>
      <protection hidden="1"/>
    </xf>
    <xf numFmtId="164" fontId="6" fillId="4" borderId="4" xfId="30" applyNumberFormat="1" applyFont="1" applyFill="1" applyBorder="1" applyAlignment="1" applyProtection="1">
      <alignment horizontal="center" vertical="center"/>
      <protection hidden="1"/>
    </xf>
    <xf numFmtId="0" fontId="10" fillId="3" borderId="2" xfId="30" applyFont="1" applyFill="1" applyBorder="1" applyAlignment="1" applyProtection="1">
      <alignment horizontal="center" vertical="center"/>
      <protection hidden="1"/>
    </xf>
    <xf numFmtId="0" fontId="10" fillId="3" borderId="5" xfId="30" applyFont="1" applyFill="1" applyBorder="1" applyAlignment="1" applyProtection="1">
      <alignment horizontal="center" vertical="center"/>
      <protection hidden="1"/>
    </xf>
    <xf numFmtId="0" fontId="10" fillId="3" borderId="4" xfId="30" applyFont="1" applyFill="1" applyBorder="1" applyAlignment="1" applyProtection="1">
      <alignment horizontal="center" vertical="center"/>
      <protection hidden="1"/>
    </xf>
    <xf numFmtId="0" fontId="10" fillId="3" borderId="1" xfId="30" applyFont="1" applyFill="1" applyBorder="1" applyAlignment="1" applyProtection="1">
      <alignment horizontal="center" vertical="center" wrapText="1"/>
      <protection hidden="1"/>
    </xf>
    <xf numFmtId="0" fontId="12" fillId="3" borderId="1" xfId="3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left" vertical="center"/>
      <protection hidden="1"/>
    </xf>
    <xf numFmtId="0" fontId="10" fillId="3" borderId="8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2" fillId="3" borderId="13" xfId="25" applyFont="1" applyFill="1" applyBorder="1" applyAlignment="1" applyProtection="1">
      <alignment horizontal="center" vertical="center" wrapText="1"/>
      <protection hidden="1"/>
    </xf>
    <xf numFmtId="0" fontId="12" fillId="3" borderId="15" xfId="25" applyFont="1" applyFill="1" applyBorder="1" applyAlignment="1" applyProtection="1">
      <alignment horizontal="center" vertical="center" wrapText="1"/>
      <protection hidden="1"/>
    </xf>
    <xf numFmtId="0" fontId="12" fillId="3" borderId="2" xfId="25" applyFont="1" applyFill="1" applyBorder="1" applyAlignment="1" applyProtection="1">
      <alignment horizontal="center" vertical="center" wrapText="1"/>
      <protection hidden="1"/>
    </xf>
    <xf numFmtId="0" fontId="12" fillId="3" borderId="5" xfId="25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</cellXfs>
  <cellStyles count="34">
    <cellStyle name="Comma 2" xfId="11"/>
    <cellStyle name="Comma 2 2" xfId="27"/>
    <cellStyle name="Comma 3" xfId="4"/>
    <cellStyle name="Comma 3 2" xfId="29"/>
    <cellStyle name="Comma 4" xfId="26"/>
    <cellStyle name="Normal" xfId="0" builtinId="0"/>
    <cellStyle name="Normal 2" xfId="2"/>
    <cellStyle name="Normal 2 2" xfId="5"/>
    <cellStyle name="Normal 2 2 2" xfId="12"/>
    <cellStyle name="Normal 2 2 2 2" xfId="22"/>
    <cellStyle name="Normal 2 2 3" xfId="16"/>
    <cellStyle name="Normal 2 3" xfId="6"/>
    <cellStyle name="Normal 2 3 2" xfId="13"/>
    <cellStyle name="Normal 2 3 2 2" xfId="23"/>
    <cellStyle name="Normal 2 3 3" xfId="17"/>
    <cellStyle name="Normal 2 4" xfId="10"/>
    <cellStyle name="Normal 2 4 2" xfId="21"/>
    <cellStyle name="Normal 2 5" xfId="15"/>
    <cellStyle name="Normal 3" xfId="3"/>
    <cellStyle name="Normal 3 2" xfId="25"/>
    <cellStyle name="Normal 4" xfId="9"/>
    <cellStyle name="Normal 4 2" xfId="20"/>
    <cellStyle name="Normal 4 2 2" xfId="28"/>
    <cellStyle name="Normal 4 3" xfId="31"/>
    <cellStyle name="Normal 4 3 2" xfId="33"/>
    <cellStyle name="Normal 5" xfId="8"/>
    <cellStyle name="Normal 5 2" xfId="19"/>
    <cellStyle name="Normal 6" xfId="1"/>
    <cellStyle name="Normal 6 2" xfId="30"/>
    <cellStyle name="Normal 6 2 2" xfId="32"/>
    <cellStyle name="Percent 2" xfId="7"/>
    <cellStyle name="Percent 2 2" xfId="14"/>
    <cellStyle name="Percent 2 2 2" xfId="24"/>
    <cellStyle name="Percent 2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35" lockText="1" noThreeD="1"/>
</file>

<file path=xl/ctrlProps/ctrlProp2.xml><?xml version="1.0" encoding="utf-8"?>
<formControlPr xmlns="http://schemas.microsoft.com/office/spreadsheetml/2009/9/main" objectType="CheckBox" fmlaLink="$B$9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805815</xdr:colOff>
      <xdr:row>3</xdr:row>
      <xdr:rowOff>149860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4DD5B7-296B-4FE7-B5CC-453D18076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20414" cy="11118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508000</xdr:colOff>
          <xdr:row>33</xdr:row>
          <xdr:rowOff>0</xdr:rowOff>
        </xdr:from>
        <xdr:to>
          <xdr:col>3</xdr:col>
          <xdr:colOff>647700</xdr:colOff>
          <xdr:row>36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CC">
                <a:alpha val="61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Survey Completion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</xdr:rowOff>
    </xdr:from>
    <xdr:to>
      <xdr:col>2</xdr:col>
      <xdr:colOff>1052830</xdr:colOff>
      <xdr:row>4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4DD5B7-296B-4FE7-B5CC-453D18076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1"/>
          <a:ext cx="2799080" cy="1111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622300</xdr:colOff>
          <xdr:row>89</xdr:row>
          <xdr:rowOff>0</xdr:rowOff>
        </xdr:from>
        <xdr:to>
          <xdr:col>3</xdr:col>
          <xdr:colOff>628650</xdr:colOff>
          <xdr:row>92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CC">
                <a:alpha val="61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Survey Completion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523875</xdr:colOff>
      <xdr:row>3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4DD5B7-296B-4FE7-B5CC-453D18076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2857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topLeftCell="A4" workbookViewId="0">
      <selection activeCell="D3" sqref="D3"/>
    </sheetView>
  </sheetViews>
  <sheetFormatPr defaultColWidth="8.81640625" defaultRowHeight="14.5" x14ac:dyDescent="0.35"/>
  <cols>
    <col min="1" max="1" width="4.7265625" style="6" customWidth="1"/>
    <col min="2" max="2" width="101.81640625" style="6" customWidth="1"/>
    <col min="3" max="3" width="4.1796875" style="6" customWidth="1"/>
    <col min="4" max="16384" width="8.81640625" style="6"/>
  </cols>
  <sheetData>
    <row r="1" spans="1:3" x14ac:dyDescent="0.35">
      <c r="A1" s="108"/>
      <c r="B1" s="14"/>
      <c r="C1" s="108"/>
    </row>
    <row r="2" spans="1:3" ht="33.65" customHeight="1" x14ac:dyDescent="0.35">
      <c r="A2" s="108"/>
      <c r="B2" s="16" t="s">
        <v>47</v>
      </c>
      <c r="C2" s="108"/>
    </row>
    <row r="3" spans="1:3" ht="105.75" customHeight="1" x14ac:dyDescent="0.35">
      <c r="A3" s="108"/>
      <c r="B3" s="18" t="s">
        <v>175</v>
      </c>
      <c r="C3" s="108"/>
    </row>
    <row r="4" spans="1:3" ht="24" customHeight="1" x14ac:dyDescent="0.35">
      <c r="A4" s="108"/>
      <c r="B4" s="7" t="s">
        <v>48</v>
      </c>
      <c r="C4" s="108"/>
    </row>
    <row r="5" spans="1:3" ht="70.5" customHeight="1" x14ac:dyDescent="0.35">
      <c r="A5" s="108"/>
      <c r="B5" s="18" t="s">
        <v>49</v>
      </c>
      <c r="C5" s="108"/>
    </row>
    <row r="6" spans="1:3" ht="29" x14ac:dyDescent="0.35">
      <c r="A6" s="108"/>
      <c r="B6" s="17" t="s">
        <v>50</v>
      </c>
      <c r="C6" s="108"/>
    </row>
    <row r="7" spans="1:3" x14ac:dyDescent="0.35">
      <c r="A7" s="108"/>
      <c r="B7" s="51" t="s">
        <v>108</v>
      </c>
      <c r="C7" s="108"/>
    </row>
    <row r="8" spans="1:3" ht="46.5" customHeight="1" x14ac:dyDescent="0.35">
      <c r="A8" s="108"/>
      <c r="B8" s="52" t="s">
        <v>174</v>
      </c>
      <c r="C8" s="108"/>
    </row>
    <row r="9" spans="1:3" ht="37.9" customHeight="1" x14ac:dyDescent="0.35">
      <c r="A9" s="108"/>
      <c r="B9" s="43" t="s">
        <v>52</v>
      </c>
      <c r="C9" s="108"/>
    </row>
    <row r="10" spans="1:3" x14ac:dyDescent="0.35">
      <c r="A10" s="108"/>
      <c r="B10" s="10"/>
      <c r="C10" s="108"/>
    </row>
    <row r="11" spans="1:3" x14ac:dyDescent="0.35">
      <c r="B11" s="15"/>
    </row>
    <row r="12" spans="1:3" x14ac:dyDescent="0.35">
      <c r="B12" s="15"/>
    </row>
    <row r="13" spans="1:3" x14ac:dyDescent="0.35">
      <c r="B13" s="15"/>
    </row>
    <row r="14" spans="1:3" x14ac:dyDescent="0.35">
      <c r="B14" s="15"/>
    </row>
    <row r="15" spans="1:3" x14ac:dyDescent="0.35">
      <c r="B15" s="15"/>
    </row>
    <row r="16" spans="1:3" x14ac:dyDescent="0.35">
      <c r="B16" s="15"/>
    </row>
    <row r="17" spans="2:2" x14ac:dyDescent="0.35">
      <c r="B17" s="15"/>
    </row>
    <row r="18" spans="2:2" x14ac:dyDescent="0.35">
      <c r="B18" s="15"/>
    </row>
    <row r="19" spans="2:2" x14ac:dyDescent="0.35">
      <c r="B19" s="15"/>
    </row>
    <row r="20" spans="2:2" x14ac:dyDescent="0.35">
      <c r="B20" s="15"/>
    </row>
  </sheetData>
  <sheetProtection algorithmName="SHA-512" hashValue="CYJzEGDBE7yQfBPdd2s+1zJ5ocbu7QRjlCHxeIYjDVeUmMguyxG0xlQYpdnUrIDIZctxgXg929nob17QmTSNow==" saltValue="NyZOdUJCRHFgkgj8WURd4Q==" spinCount="100000" sheet="1" objects="1" scenarios="1"/>
  <mergeCells count="2">
    <mergeCell ref="A1:A10"/>
    <mergeCell ref="C1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showGridLines="0" topLeftCell="A15" zoomScaleNormal="100" workbookViewId="0">
      <selection activeCell="I19" sqref="I19"/>
    </sheetView>
  </sheetViews>
  <sheetFormatPr defaultColWidth="8.81640625" defaultRowHeight="12" x14ac:dyDescent="0.3"/>
  <cols>
    <col min="1" max="1" width="23.453125" style="11" customWidth="1"/>
    <col min="2" max="13" width="14.26953125" style="11" customWidth="1"/>
    <col min="14" max="16384" width="8.81640625" style="11"/>
  </cols>
  <sheetData>
    <row r="1" spans="1:13" ht="24" customHeight="1" x14ac:dyDescent="0.3">
      <c r="C1" s="13"/>
      <c r="D1" s="125" t="s">
        <v>35</v>
      </c>
      <c r="E1" s="125"/>
      <c r="F1" s="125"/>
      <c r="G1" s="125"/>
      <c r="H1" s="126"/>
    </row>
    <row r="2" spans="1:13" ht="37.5" customHeight="1" x14ac:dyDescent="0.3">
      <c r="C2" s="12"/>
      <c r="D2" s="127"/>
      <c r="E2" s="128"/>
      <c r="F2" s="101" t="s">
        <v>65</v>
      </c>
      <c r="G2" s="101" t="s">
        <v>135</v>
      </c>
      <c r="H2" s="101" t="s">
        <v>39</v>
      </c>
    </row>
    <row r="3" spans="1:13" ht="14.5" customHeight="1" x14ac:dyDescent="0.3">
      <c r="C3" s="9"/>
      <c r="D3" s="129" t="s">
        <v>40</v>
      </c>
      <c r="E3" s="130"/>
      <c r="F3" s="38" t="str">
        <f t="shared" ref="F3:H4" si="0">D10</f>
        <v xml:space="preserve"> </v>
      </c>
      <c r="G3" s="39" t="str">
        <f t="shared" si="0"/>
        <v xml:space="preserve"> </v>
      </c>
      <c r="H3" s="39" t="str">
        <f t="shared" si="0"/>
        <v xml:space="preserve"> </v>
      </c>
    </row>
    <row r="4" spans="1:13" ht="14.25" customHeight="1" x14ac:dyDescent="0.3">
      <c r="C4" s="9"/>
      <c r="D4" s="129" t="s">
        <v>156</v>
      </c>
      <c r="E4" s="130"/>
      <c r="F4" s="39" t="str">
        <f t="shared" si="0"/>
        <v xml:space="preserve"> </v>
      </c>
      <c r="G4" s="39" t="str">
        <f t="shared" si="0"/>
        <v xml:space="preserve"> </v>
      </c>
      <c r="H4" s="39" t="str">
        <f t="shared" si="0"/>
        <v xml:space="preserve"> </v>
      </c>
    </row>
    <row r="5" spans="1:13" ht="18" customHeight="1" x14ac:dyDescent="0.3">
      <c r="C5" s="9"/>
      <c r="D5" s="129" t="s">
        <v>2</v>
      </c>
      <c r="E5" s="130"/>
      <c r="F5" s="40" t="str">
        <f>D12</f>
        <v/>
      </c>
      <c r="G5" s="40" t="str">
        <f>E12</f>
        <v/>
      </c>
      <c r="H5" s="39"/>
    </row>
    <row r="6" spans="1:13" ht="14.5" customHeight="1" x14ac:dyDescent="0.3">
      <c r="C6" s="9"/>
    </row>
    <row r="7" spans="1:13" ht="14.5" hidden="1" customHeight="1" x14ac:dyDescent="0.3">
      <c r="C7" s="9"/>
    </row>
    <row r="8" spans="1:13" ht="14.5" hidden="1" customHeight="1" x14ac:dyDescent="0.3">
      <c r="B8" s="125" t="s">
        <v>110</v>
      </c>
      <c r="C8" s="125"/>
      <c r="D8" s="125"/>
      <c r="E8" s="125"/>
      <c r="F8" s="126"/>
      <c r="J8" s="125" t="s">
        <v>111</v>
      </c>
      <c r="K8" s="125"/>
      <c r="L8" s="125"/>
      <c r="M8" s="126"/>
    </row>
    <row r="9" spans="1:13" ht="37.5" hidden="1" customHeight="1" x14ac:dyDescent="0.3">
      <c r="B9" s="127"/>
      <c r="C9" s="128"/>
      <c r="D9" s="101" t="s">
        <v>65</v>
      </c>
      <c r="E9" s="101" t="s">
        <v>109</v>
      </c>
      <c r="F9" s="101" t="s">
        <v>39</v>
      </c>
      <c r="J9" s="127"/>
      <c r="K9" s="128"/>
      <c r="L9" s="101" t="s">
        <v>65</v>
      </c>
      <c r="M9" s="101" t="s">
        <v>39</v>
      </c>
    </row>
    <row r="10" spans="1:13" ht="14.5" hidden="1" customHeight="1" x14ac:dyDescent="0.3">
      <c r="B10" s="129" t="s">
        <v>40</v>
      </c>
      <c r="C10" s="130"/>
      <c r="D10" s="38" t="str">
        <f>IF(G21&gt;0, H22, " ")</f>
        <v xml:space="preserve"> </v>
      </c>
      <c r="E10" s="39" t="str">
        <f>IF(E48&gt;0, D30, " ")</f>
        <v xml:space="preserve"> </v>
      </c>
      <c r="F10" s="39" t="str">
        <f>IF(AND(G21&gt;0, E48&gt;0), ROUND(SUM(D13:E13), 1), " ")</f>
        <v xml:space="preserve"> </v>
      </c>
      <c r="J10" s="129" t="s">
        <v>40</v>
      </c>
      <c r="K10" s="130"/>
      <c r="L10" s="38" t="str">
        <f>IF(G21&gt;0, H22, " ")</f>
        <v xml:space="preserve"> </v>
      </c>
      <c r="M10" s="39" t="str">
        <f>IF(G21&gt;0, (ROUND(L13, 1)), "")</f>
        <v/>
      </c>
    </row>
    <row r="11" spans="1:13" ht="14.5" hidden="1" customHeight="1" x14ac:dyDescent="0.3">
      <c r="B11" s="129" t="s">
        <v>156</v>
      </c>
      <c r="C11" s="130"/>
      <c r="D11" s="39" t="str">
        <f>IF(G21&gt;0, IF(D10&lt;50, "F", IF(D10&lt;60, "D", IF(D10&lt;75, "C", IF(D10&lt;90, "B", "A")))), " ")</f>
        <v xml:space="preserve"> </v>
      </c>
      <c r="E11" s="39" t="str">
        <f>IF(E48&gt;0, IF(E10&lt;50, "F", IF(E10&lt;60, "D", IF(E10&lt;75, "C", IF(E10&lt;90, "B", "A")))), " ")</f>
        <v xml:space="preserve"> </v>
      </c>
      <c r="F11" s="39" t="str">
        <f>IF(AND(G21&gt;0, E48&gt;0), IF(F10&lt;50, "F", IF(F10&lt;60, "D", IF(F10&lt;75, "C", IF(F10&lt;90, "B", "A")))), " ")</f>
        <v xml:space="preserve"> </v>
      </c>
      <c r="J11" s="129" t="s">
        <v>156</v>
      </c>
      <c r="K11" s="130"/>
      <c r="L11" s="39" t="str">
        <f>IF(G21&gt;0, IF(L10&lt;50, "F", IF(L10&lt;60, "D", IF(L10&lt;75, "C", IF(L10&lt;90, "B", "A")))), " ")</f>
        <v xml:space="preserve"> </v>
      </c>
      <c r="M11" s="39" t="str">
        <f>IF(G21&gt;0, IF(M10&lt;50, "F", IF(M10&lt;60, "D", IF(M10&lt;75, "C", IF(M10&lt;90, "B", "A")))), " ")</f>
        <v xml:space="preserve"> </v>
      </c>
    </row>
    <row r="12" spans="1:13" ht="14.5" hidden="1" customHeight="1" x14ac:dyDescent="0.3">
      <c r="B12" s="129" t="s">
        <v>2</v>
      </c>
      <c r="C12" s="130"/>
      <c r="D12" s="40" t="str">
        <f>IF(G21&gt;0, 0.95, "")</f>
        <v/>
      </c>
      <c r="E12" s="40" t="str">
        <f>IF(E48&gt;0, 0.05, "")</f>
        <v/>
      </c>
      <c r="F12" s="39"/>
      <c r="J12" s="129" t="s">
        <v>2</v>
      </c>
      <c r="K12" s="130"/>
      <c r="L12" s="40" t="str">
        <f>IF(G21&gt;0, 1, "")</f>
        <v/>
      </c>
      <c r="M12" s="39"/>
    </row>
    <row r="13" spans="1:13" ht="14.25" hidden="1" customHeight="1" x14ac:dyDescent="0.3">
      <c r="C13" s="9"/>
      <c r="D13" s="11" t="str">
        <f>IF(G21&gt;0, ROUND(D10*D12, 3), " ")</f>
        <v xml:space="preserve"> </v>
      </c>
      <c r="E13" s="11" t="str">
        <f>IF(E48&gt;0, ROUND(E10*E12, 3), " ")</f>
        <v xml:space="preserve"> </v>
      </c>
      <c r="L13" s="11" t="str">
        <f>IF(G21&gt;0, ROUND(L10*L12, 3), " ")</f>
        <v xml:space="preserve"> </v>
      </c>
    </row>
    <row r="14" spans="1:13" s="64" customFormat="1" ht="12" hidden="1" customHeight="1" x14ac:dyDescent="0.3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3" ht="20.5" customHeight="1" x14ac:dyDescent="0.3">
      <c r="A15" s="134" t="s">
        <v>51</v>
      </c>
      <c r="B15" s="125"/>
      <c r="C15" s="125"/>
      <c r="D15" s="125"/>
      <c r="E15" s="125"/>
      <c r="F15" s="125"/>
      <c r="G15" s="125"/>
      <c r="H15" s="125"/>
      <c r="I15" s="8"/>
    </row>
    <row r="16" spans="1:13" ht="139.15" customHeight="1" x14ac:dyDescent="0.3">
      <c r="A16" s="19" t="s">
        <v>0</v>
      </c>
      <c r="B16" s="19" t="s">
        <v>53</v>
      </c>
      <c r="C16" s="19" t="s">
        <v>54</v>
      </c>
      <c r="D16" s="19" t="s">
        <v>55</v>
      </c>
      <c r="E16" s="19" t="s">
        <v>56</v>
      </c>
      <c r="F16" s="19" t="s">
        <v>57</v>
      </c>
      <c r="G16" s="44" t="s">
        <v>60</v>
      </c>
      <c r="H16" s="44" t="s">
        <v>61</v>
      </c>
      <c r="I16" s="8"/>
    </row>
    <row r="17" spans="1:9" x14ac:dyDescent="0.3">
      <c r="A17" s="20" t="s">
        <v>159</v>
      </c>
      <c r="B17" s="22"/>
      <c r="C17" s="22"/>
      <c r="D17" s="22"/>
      <c r="E17" s="22"/>
      <c r="F17" s="22"/>
      <c r="G17" s="39">
        <f>SUM(B17:F17)</f>
        <v>0</v>
      </c>
      <c r="H17" s="39">
        <f>B17*150 + C17*115+D17*85+E17*25+F17*0</f>
        <v>0</v>
      </c>
      <c r="I17" s="8"/>
    </row>
    <row r="18" spans="1:9" ht="12.5" thickBot="1" x14ac:dyDescent="0.35">
      <c r="A18" s="48" t="s">
        <v>160</v>
      </c>
      <c r="B18" s="49"/>
      <c r="C18" s="49"/>
      <c r="D18" s="49"/>
      <c r="E18" s="49"/>
      <c r="F18" s="49"/>
      <c r="G18" s="50">
        <f>SUM(B18:F18)</f>
        <v>0</v>
      </c>
      <c r="H18" s="50">
        <f>B18*150 + C18*115+D18*85+E18*25+F18*0</f>
        <v>0</v>
      </c>
      <c r="I18" s="8"/>
    </row>
    <row r="19" spans="1:9" ht="12.5" thickTop="1" x14ac:dyDescent="0.3">
      <c r="A19" s="47" t="s">
        <v>167</v>
      </c>
      <c r="B19" s="45"/>
      <c r="C19" s="45"/>
      <c r="D19" s="45"/>
      <c r="E19" s="45"/>
      <c r="F19" s="45"/>
      <c r="G19" s="46">
        <f>SUM(B19:F19)</f>
        <v>0</v>
      </c>
      <c r="H19" s="46">
        <f>B19*150 + C19*115+D19*85+E19*25+F19*0</f>
        <v>0</v>
      </c>
      <c r="I19" s="8"/>
    </row>
    <row r="20" spans="1:9" x14ac:dyDescent="0.3">
      <c r="A20" s="20" t="s">
        <v>168</v>
      </c>
      <c r="B20" s="22"/>
      <c r="C20" s="22"/>
      <c r="D20" s="22"/>
      <c r="E20" s="22"/>
      <c r="F20" s="22"/>
      <c r="G20" s="39">
        <f>SUM(B20:F20)</f>
        <v>0</v>
      </c>
      <c r="H20" s="39">
        <f>B20*150 + C20*115+D20*85+E20*25+F20*0</f>
        <v>0</v>
      </c>
      <c r="I20" s="8"/>
    </row>
    <row r="21" spans="1:9" x14ac:dyDescent="0.3">
      <c r="A21" s="131" t="s">
        <v>1</v>
      </c>
      <c r="B21" s="132"/>
      <c r="C21" s="132"/>
      <c r="D21" s="132"/>
      <c r="E21" s="132"/>
      <c r="F21" s="133"/>
      <c r="G21" s="72">
        <f>SUM(G17:G20)</f>
        <v>0</v>
      </c>
      <c r="H21" s="72">
        <f>SUM(H17:H20)</f>
        <v>0</v>
      </c>
      <c r="I21" s="8"/>
    </row>
    <row r="22" spans="1:9" x14ac:dyDescent="0.3">
      <c r="A22" s="131" t="s">
        <v>83</v>
      </c>
      <c r="B22" s="132"/>
      <c r="C22" s="132"/>
      <c r="D22" s="132"/>
      <c r="E22" s="132"/>
      <c r="F22" s="132"/>
      <c r="G22" s="133"/>
      <c r="H22" s="42">
        <f>IF(G21&gt;0, ROUND(H21/G21,1), 0)</f>
        <v>0</v>
      </c>
      <c r="I22" s="8"/>
    </row>
    <row r="23" spans="1:9" x14ac:dyDescent="0.3">
      <c r="A23" s="118" t="s">
        <v>177</v>
      </c>
      <c r="B23" s="118"/>
      <c r="C23" s="118"/>
      <c r="D23" s="118"/>
      <c r="E23" s="118"/>
      <c r="F23" s="118"/>
      <c r="G23" s="118"/>
      <c r="H23" s="118"/>
    </row>
    <row r="24" spans="1:9" x14ac:dyDescent="0.3">
      <c r="A24" s="119" t="s">
        <v>67</v>
      </c>
      <c r="B24" s="119"/>
      <c r="C24" s="119"/>
      <c r="D24" s="119"/>
      <c r="E24" s="119"/>
      <c r="F24" s="119"/>
      <c r="G24" s="119"/>
      <c r="H24" s="119"/>
    </row>
    <row r="25" spans="1:9" x14ac:dyDescent="0.3">
      <c r="A25" s="119" t="s">
        <v>68</v>
      </c>
      <c r="B25" s="119"/>
      <c r="C25" s="119"/>
      <c r="D25" s="119"/>
      <c r="E25" s="119"/>
      <c r="F25" s="119"/>
      <c r="G25" s="119"/>
      <c r="H25" s="119"/>
    </row>
    <row r="26" spans="1:9" hidden="1" x14ac:dyDescent="0.3"/>
    <row r="28" spans="1:9" ht="13" x14ac:dyDescent="0.3">
      <c r="A28" s="121" t="s">
        <v>112</v>
      </c>
      <c r="B28" s="122"/>
      <c r="C28" s="122"/>
      <c r="D28" s="122"/>
    </row>
    <row r="29" spans="1:9" ht="36" x14ac:dyDescent="0.3">
      <c r="A29" s="104"/>
      <c r="B29" s="104" t="s">
        <v>113</v>
      </c>
      <c r="C29" s="105" t="s">
        <v>114</v>
      </c>
      <c r="D29" s="106" t="s">
        <v>115</v>
      </c>
    </row>
    <row r="30" spans="1:9" x14ac:dyDescent="0.3">
      <c r="A30" s="106" t="s">
        <v>40</v>
      </c>
      <c r="B30" s="84">
        <f>B36</f>
        <v>0</v>
      </c>
      <c r="C30" s="84">
        <f>E49</f>
        <v>0</v>
      </c>
      <c r="D30" s="84">
        <f>ROUND(SUM(B30*B31,C30*C31), 1)</f>
        <v>0</v>
      </c>
    </row>
    <row r="31" spans="1:9" ht="12" customHeight="1" x14ac:dyDescent="0.3">
      <c r="A31" s="106" t="s">
        <v>2</v>
      </c>
      <c r="B31" s="83">
        <v>1</v>
      </c>
      <c r="C31" s="83">
        <v>1</v>
      </c>
      <c r="D31" s="85"/>
    </row>
    <row r="32" spans="1:9" x14ac:dyDescent="0.3">
      <c r="A32" s="119" t="s">
        <v>166</v>
      </c>
      <c r="B32" s="120"/>
      <c r="C32" s="120"/>
      <c r="D32" s="120"/>
      <c r="E32" s="120"/>
      <c r="F32" s="120"/>
      <c r="G32" s="120"/>
      <c r="H32" s="120"/>
    </row>
    <row r="34" spans="1:8" ht="13" x14ac:dyDescent="0.3">
      <c r="A34" s="121" t="s">
        <v>116</v>
      </c>
      <c r="B34" s="122"/>
    </row>
    <row r="35" spans="1:8" hidden="1" x14ac:dyDescent="0.3">
      <c r="A35" s="104" t="s">
        <v>137</v>
      </c>
      <c r="B35" s="89" t="b">
        <v>0</v>
      </c>
    </row>
    <row r="36" spans="1:8" x14ac:dyDescent="0.3">
      <c r="A36" s="100" t="s">
        <v>113</v>
      </c>
      <c r="B36" s="42">
        <f>IF(B35=TRUE, 75, 0)</f>
        <v>0</v>
      </c>
    </row>
    <row r="37" spans="1:8" x14ac:dyDescent="0.3">
      <c r="A37" s="119" t="s">
        <v>138</v>
      </c>
      <c r="B37" s="120"/>
      <c r="C37" s="120"/>
      <c r="D37" s="120"/>
      <c r="E37" s="120"/>
      <c r="F37" s="120"/>
      <c r="G37" s="120"/>
      <c r="H37" s="120"/>
    </row>
    <row r="39" spans="1:8" ht="13" x14ac:dyDescent="0.3">
      <c r="A39" s="123" t="s">
        <v>117</v>
      </c>
      <c r="B39" s="124"/>
      <c r="C39" s="124"/>
      <c r="D39" s="124"/>
      <c r="E39" s="124"/>
    </row>
    <row r="40" spans="1:8" ht="35.5" x14ac:dyDescent="0.3">
      <c r="A40" s="104"/>
      <c r="B40" s="104"/>
      <c r="C40" s="107" t="s">
        <v>118</v>
      </c>
      <c r="D40" s="100" t="s">
        <v>2</v>
      </c>
      <c r="E40" s="101" t="s">
        <v>119</v>
      </c>
    </row>
    <row r="41" spans="1:8" ht="24" x14ac:dyDescent="0.3">
      <c r="A41" s="109" t="s">
        <v>120</v>
      </c>
      <c r="B41" s="104" t="s">
        <v>121</v>
      </c>
      <c r="C41" s="86"/>
      <c r="D41" s="42">
        <v>1</v>
      </c>
      <c r="E41" s="39">
        <f>C41*D41</f>
        <v>0</v>
      </c>
    </row>
    <row r="42" spans="1:8" x14ac:dyDescent="0.3">
      <c r="A42" s="109"/>
      <c r="B42" s="104" t="s">
        <v>122</v>
      </c>
      <c r="C42" s="86"/>
      <c r="D42" s="42">
        <v>1</v>
      </c>
      <c r="E42" s="39">
        <f>C42*D42</f>
        <v>0</v>
      </c>
    </row>
    <row r="43" spans="1:8" x14ac:dyDescent="0.3">
      <c r="A43" s="109"/>
      <c r="B43" s="104" t="s">
        <v>123</v>
      </c>
      <c r="C43" s="86"/>
      <c r="D43" s="42">
        <v>1</v>
      </c>
      <c r="E43" s="39">
        <f>C43*D43</f>
        <v>0</v>
      </c>
    </row>
    <row r="44" spans="1:8" x14ac:dyDescent="0.3">
      <c r="A44" s="109"/>
      <c r="B44" s="104" t="s">
        <v>124</v>
      </c>
      <c r="C44" s="86"/>
      <c r="D44" s="42">
        <v>1</v>
      </c>
      <c r="E44" s="39">
        <f>C44*D44</f>
        <v>0</v>
      </c>
    </row>
    <row r="45" spans="1:8" x14ac:dyDescent="0.3">
      <c r="A45" s="109"/>
      <c r="B45" s="110" t="s">
        <v>125</v>
      </c>
      <c r="C45" s="111"/>
      <c r="D45" s="112"/>
      <c r="E45" s="72">
        <f>SUM(E41:E44)</f>
        <v>0</v>
      </c>
    </row>
    <row r="46" spans="1:8" ht="24" x14ac:dyDescent="0.3">
      <c r="A46" s="109" t="s">
        <v>126</v>
      </c>
      <c r="B46" s="104" t="s">
        <v>127</v>
      </c>
      <c r="C46" s="86"/>
      <c r="D46" s="42">
        <v>3</v>
      </c>
      <c r="E46" s="39">
        <f>C46*D46</f>
        <v>0</v>
      </c>
    </row>
    <row r="47" spans="1:8" ht="24" x14ac:dyDescent="0.3">
      <c r="A47" s="109"/>
      <c r="B47" s="104" t="s">
        <v>128</v>
      </c>
      <c r="C47" s="86"/>
      <c r="D47" s="42">
        <v>1</v>
      </c>
      <c r="E47" s="39">
        <f>C47*D47</f>
        <v>0</v>
      </c>
    </row>
    <row r="48" spans="1:8" x14ac:dyDescent="0.3">
      <c r="A48" s="109"/>
      <c r="B48" s="110" t="s">
        <v>129</v>
      </c>
      <c r="C48" s="111"/>
      <c r="D48" s="112"/>
      <c r="E48" s="39">
        <f>SUM(E46:E47)</f>
        <v>0</v>
      </c>
    </row>
    <row r="49" spans="1:8" x14ac:dyDescent="0.3">
      <c r="A49" s="113" t="s">
        <v>130</v>
      </c>
      <c r="B49" s="114"/>
      <c r="C49" s="114"/>
      <c r="D49" s="115"/>
      <c r="E49" s="42">
        <f>IF(E48&gt;0, MIN(ROUND(E45/E48*75,1), 75), 0)</f>
        <v>0</v>
      </c>
    </row>
    <row r="50" spans="1:8" x14ac:dyDescent="0.3">
      <c r="A50" s="116" t="s">
        <v>139</v>
      </c>
      <c r="B50" s="117"/>
      <c r="C50" s="117"/>
      <c r="D50" s="117"/>
      <c r="E50" s="117"/>
      <c r="F50" s="117"/>
      <c r="G50" s="117"/>
      <c r="H50" s="117"/>
    </row>
  </sheetData>
  <sheetProtection algorithmName="SHA-512" hashValue="r1+16cltYMYGMIzxsLeeF2cDSQNnHpC0zQ5dQIJdYFaGBaN4c3I6fjdu1ol6bxGcbWUlQ9r3a7+9tI+RXh4Nfw==" saltValue="R5mm2WJzSnitZbc680wZ0A==" spinCount="100000" sheet="1" objects="1" scenarios="1"/>
  <mergeCells count="32">
    <mergeCell ref="A22:G22"/>
    <mergeCell ref="A21:F21"/>
    <mergeCell ref="A15:H15"/>
    <mergeCell ref="B12:C12"/>
    <mergeCell ref="D1:H1"/>
    <mergeCell ref="B8:F8"/>
    <mergeCell ref="B9:C9"/>
    <mergeCell ref="B10:C10"/>
    <mergeCell ref="B11:C11"/>
    <mergeCell ref="D2:E2"/>
    <mergeCell ref="D3:E3"/>
    <mergeCell ref="D4:E4"/>
    <mergeCell ref="D5:E5"/>
    <mergeCell ref="J8:M8"/>
    <mergeCell ref="J9:K9"/>
    <mergeCell ref="J10:K10"/>
    <mergeCell ref="J11:K11"/>
    <mergeCell ref="J12:K12"/>
    <mergeCell ref="A46:A48"/>
    <mergeCell ref="B48:D48"/>
    <mergeCell ref="A49:D49"/>
    <mergeCell ref="A50:H50"/>
    <mergeCell ref="A23:H23"/>
    <mergeCell ref="A24:H24"/>
    <mergeCell ref="A25:H25"/>
    <mergeCell ref="A32:H32"/>
    <mergeCell ref="A28:D28"/>
    <mergeCell ref="A34:B34"/>
    <mergeCell ref="A37:H37"/>
    <mergeCell ref="A39:E39"/>
    <mergeCell ref="A41:A45"/>
    <mergeCell ref="B45:D45"/>
  </mergeCells>
  <conditionalFormatting sqref="D2:E5">
    <cfRule type="colorScale" priority="3">
      <colorScale>
        <cfvo type="min"/>
        <cfvo type="max"/>
        <color rgb="FFF8696B"/>
        <color rgb="FFFCFCFF"/>
      </colorScale>
    </cfRule>
  </conditionalFormatting>
  <conditionalFormatting sqref="B9:C12">
    <cfRule type="colorScale" priority="2">
      <colorScale>
        <cfvo type="min"/>
        <cfvo type="max"/>
        <color rgb="FFF8696B"/>
        <color rgb="FFFCFCFF"/>
      </colorScale>
    </cfRule>
  </conditionalFormatting>
  <conditionalFormatting sqref="J9:K12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508000</xdr:colOff>
                    <xdr:row>33</xdr:row>
                    <xdr:rowOff>0</xdr:rowOff>
                  </from>
                  <to>
                    <xdr:col>3</xdr:col>
                    <xdr:colOff>647700</xdr:colOff>
                    <xdr:row>36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3"/>
  <sheetViews>
    <sheetView showGridLines="0" topLeftCell="A32" zoomScaleNormal="100" workbookViewId="0">
      <selection activeCell="L1" sqref="L1"/>
    </sheetView>
  </sheetViews>
  <sheetFormatPr defaultColWidth="8.81640625" defaultRowHeight="12" x14ac:dyDescent="0.3"/>
  <cols>
    <col min="1" max="1" width="16.7265625" style="11" customWidth="1"/>
    <col min="2" max="2" width="12.81640625" style="11" customWidth="1"/>
    <col min="3" max="3" width="16.26953125" style="11" customWidth="1"/>
    <col min="4" max="11" width="14.26953125" style="11" customWidth="1"/>
    <col min="12" max="12" width="12.81640625" style="11" customWidth="1"/>
    <col min="13" max="13" width="9" style="11" customWidth="1"/>
    <col min="14" max="14" width="8.81640625" style="11" customWidth="1"/>
    <col min="15" max="21" width="14.26953125" style="11" customWidth="1"/>
    <col min="22" max="16384" width="8.81640625" style="11"/>
  </cols>
  <sheetData>
    <row r="1" spans="1:21" ht="18" customHeight="1" x14ac:dyDescent="0.3">
      <c r="D1" s="125" t="s">
        <v>34</v>
      </c>
      <c r="E1" s="125"/>
      <c r="F1" s="125"/>
      <c r="G1" s="125"/>
      <c r="H1" s="125"/>
      <c r="I1" s="125"/>
      <c r="J1" s="125"/>
      <c r="K1" s="126"/>
    </row>
    <row r="2" spans="1:21" ht="36" x14ac:dyDescent="0.3">
      <c r="D2" s="168"/>
      <c r="E2" s="168"/>
      <c r="F2" s="101" t="s">
        <v>66</v>
      </c>
      <c r="G2" s="101" t="s">
        <v>79</v>
      </c>
      <c r="H2" s="101" t="s">
        <v>15</v>
      </c>
      <c r="I2" s="101" t="s">
        <v>82</v>
      </c>
      <c r="J2" s="99" t="s">
        <v>136</v>
      </c>
      <c r="K2" s="100" t="s">
        <v>42</v>
      </c>
    </row>
    <row r="3" spans="1:21" x14ac:dyDescent="0.3">
      <c r="D3" s="145" t="s">
        <v>40</v>
      </c>
      <c r="E3" s="145"/>
      <c r="F3" s="38" t="str">
        <f t="shared" ref="F3:K4" si="0">D10</f>
        <v/>
      </c>
      <c r="G3" s="39" t="str">
        <f t="shared" si="0"/>
        <v/>
      </c>
      <c r="H3" s="39" t="str">
        <f t="shared" si="0"/>
        <v/>
      </c>
      <c r="I3" s="38" t="str">
        <f t="shared" si="0"/>
        <v/>
      </c>
      <c r="J3" s="88" t="str">
        <f t="shared" si="0"/>
        <v/>
      </c>
      <c r="K3" s="39" t="str">
        <f t="shared" si="0"/>
        <v xml:space="preserve"> </v>
      </c>
    </row>
    <row r="4" spans="1:21" x14ac:dyDescent="0.3">
      <c r="D4" s="145" t="s">
        <v>156</v>
      </c>
      <c r="E4" s="145"/>
      <c r="F4" s="39" t="str">
        <f t="shared" si="0"/>
        <v xml:space="preserve"> </v>
      </c>
      <c r="G4" s="39" t="str">
        <f t="shared" si="0"/>
        <v xml:space="preserve"> </v>
      </c>
      <c r="H4" s="39" t="str">
        <f t="shared" si="0"/>
        <v xml:space="preserve"> </v>
      </c>
      <c r="I4" s="39" t="str">
        <f t="shared" si="0"/>
        <v xml:space="preserve"> </v>
      </c>
      <c r="J4" s="88" t="str">
        <f t="shared" si="0"/>
        <v xml:space="preserve"> </v>
      </c>
      <c r="K4" s="39" t="str">
        <f t="shared" si="0"/>
        <v xml:space="preserve"> </v>
      </c>
    </row>
    <row r="5" spans="1:21" x14ac:dyDescent="0.3">
      <c r="D5" s="145" t="s">
        <v>2</v>
      </c>
      <c r="E5" s="145"/>
      <c r="F5" s="79" t="str">
        <f>D12</f>
        <v xml:space="preserve"> </v>
      </c>
      <c r="G5" s="79" t="str">
        <f>E12</f>
        <v xml:space="preserve"> </v>
      </c>
      <c r="H5" s="79" t="str">
        <f>F12</f>
        <v xml:space="preserve"> </v>
      </c>
      <c r="I5" s="79" t="str">
        <f>G12</f>
        <v xml:space="preserve"> </v>
      </c>
      <c r="J5" s="98" t="str">
        <f>H12</f>
        <v xml:space="preserve"> </v>
      </c>
      <c r="K5" s="39"/>
    </row>
    <row r="6" spans="1:21" ht="15" customHeight="1" x14ac:dyDescent="0.3">
      <c r="D6" s="5"/>
      <c r="E6" s="5"/>
      <c r="F6" s="25"/>
      <c r="G6" s="25"/>
      <c r="H6" s="25"/>
      <c r="I6" s="25"/>
      <c r="J6" s="25"/>
      <c r="K6" s="8"/>
    </row>
    <row r="7" spans="1:21" ht="15" hidden="1" customHeight="1" x14ac:dyDescent="0.3">
      <c r="D7" s="5"/>
      <c r="E7" s="5"/>
      <c r="F7" s="25"/>
      <c r="G7" s="25"/>
      <c r="H7" s="25"/>
      <c r="I7" s="25"/>
      <c r="J7" s="25"/>
      <c r="K7" s="8"/>
    </row>
    <row r="8" spans="1:21" ht="18" hidden="1" customHeight="1" x14ac:dyDescent="0.3">
      <c r="B8" s="125" t="s">
        <v>157</v>
      </c>
      <c r="C8" s="125"/>
      <c r="D8" s="125"/>
      <c r="E8" s="125"/>
      <c r="F8" s="125"/>
      <c r="G8" s="125"/>
      <c r="H8" s="125"/>
      <c r="I8" s="126"/>
      <c r="J8" s="25"/>
      <c r="K8" s="8"/>
      <c r="M8" s="125" t="s">
        <v>158</v>
      </c>
      <c r="N8" s="125"/>
      <c r="O8" s="125"/>
      <c r="P8" s="125"/>
      <c r="Q8" s="125"/>
      <c r="R8" s="125"/>
      <c r="S8" s="126"/>
    </row>
    <row r="9" spans="1:21" ht="36" hidden="1" customHeight="1" x14ac:dyDescent="0.3">
      <c r="B9" s="168"/>
      <c r="C9" s="168"/>
      <c r="D9" s="101" t="s">
        <v>66</v>
      </c>
      <c r="E9" s="101" t="s">
        <v>79</v>
      </c>
      <c r="F9" s="101" t="s">
        <v>15</v>
      </c>
      <c r="G9" s="101" t="s">
        <v>82</v>
      </c>
      <c r="H9" s="99" t="s">
        <v>136</v>
      </c>
      <c r="I9" s="100" t="s">
        <v>42</v>
      </c>
      <c r="J9" s="25"/>
      <c r="K9" s="8"/>
      <c r="M9" s="168"/>
      <c r="N9" s="168"/>
      <c r="O9" s="101" t="s">
        <v>66</v>
      </c>
      <c r="P9" s="101" t="s">
        <v>79</v>
      </c>
      <c r="Q9" s="101" t="s">
        <v>15</v>
      </c>
      <c r="R9" s="101" t="s">
        <v>82</v>
      </c>
      <c r="S9" s="100" t="s">
        <v>42</v>
      </c>
    </row>
    <row r="10" spans="1:21" ht="12" hidden="1" customHeight="1" x14ac:dyDescent="0.3">
      <c r="B10" s="145" t="s">
        <v>40</v>
      </c>
      <c r="C10" s="145"/>
      <c r="D10" s="38" t="str">
        <f>IF(G49&gt;0, H50, "")</f>
        <v/>
      </c>
      <c r="E10" s="39" t="str">
        <f>IF(J35&gt;=10, K36, "")</f>
        <v/>
      </c>
      <c r="F10" s="39" t="str">
        <f>IF(K80&gt;=10, L81, "")</f>
        <v/>
      </c>
      <c r="G10" s="38" t="str">
        <f>IF(G74&gt;=10, H75, "")</f>
        <v/>
      </c>
      <c r="H10" s="97" t="str">
        <f>IF(SUM(G49, J35)&gt;0, C86, "")</f>
        <v/>
      </c>
      <c r="I10" s="39" t="str">
        <f>IF(SUM(J35, G49, G74, K80)&gt;0, ROUND(SUM(D13:H13), 1), " ")</f>
        <v xml:space="preserve"> </v>
      </c>
      <c r="J10" s="25"/>
      <c r="K10" s="8"/>
      <c r="M10" s="145" t="s">
        <v>40</v>
      </c>
      <c r="N10" s="145"/>
      <c r="O10" s="38" t="str">
        <f>IF(G49&gt;0, H50, "")</f>
        <v/>
      </c>
      <c r="P10" s="39" t="str">
        <f>IF(J35&gt;=10, K36, "")</f>
        <v/>
      </c>
      <c r="Q10" s="39" t="str">
        <f>IF(K80&gt;=10, L81, "")</f>
        <v/>
      </c>
      <c r="R10" s="38" t="str">
        <f>IF(G74&gt;=10, H75, "")</f>
        <v/>
      </c>
      <c r="S10" s="39" t="str">
        <f>IF(SUM(J35, G49, G74, K80)&gt;0, ROUND(SUM(O13:R13), 1), " ")</f>
        <v xml:space="preserve"> </v>
      </c>
    </row>
    <row r="11" spans="1:21" ht="12" hidden="1" customHeight="1" x14ac:dyDescent="0.3">
      <c r="B11" s="145" t="s">
        <v>156</v>
      </c>
      <c r="C11" s="145"/>
      <c r="D11" s="39" t="str">
        <f>IF(G49&gt;0, IF(D10&lt;50, "F", IF(D10&lt;60, "D", IF(D10&lt;75, "C", IF(D10&lt;90, "B", "A")))), " ")</f>
        <v xml:space="preserve"> </v>
      </c>
      <c r="E11" s="39" t="str">
        <f>IF(J35&gt;=10, IF(E10&lt;50, "F", IF(E10&lt;60, "D", IF(E10&lt;75, "C", IF(E10&lt;90, "B", "A")))), " ")</f>
        <v xml:space="preserve"> </v>
      </c>
      <c r="F11" s="39" t="str">
        <f>IF(K80&gt;=10, IF(F10&lt;50, "F", IF(F10&lt;60, "D", IF(F10&lt;75, "C", IF(F10&lt;90, "B", "A")))), " ")</f>
        <v xml:space="preserve"> </v>
      </c>
      <c r="G11" s="39" t="str">
        <f>IF(G74&gt;=10, IF(G10&lt;50, "F", IF(G10&lt;60, "D", IF(G10&lt;75, "C", IF(G10&lt;90, "B", "A")))), " ")</f>
        <v xml:space="preserve"> </v>
      </c>
      <c r="H11" s="88" t="str">
        <f>IF(SUM(G49, J35)&gt;0, IF(H10&lt;50, "F", IF(H10&lt;60, "D", IF(H10&lt;75, "C", IF(H10&lt;90, "B", "A")))), " ")</f>
        <v xml:space="preserve"> </v>
      </c>
      <c r="I11" s="39" t="str">
        <f>IF(SUM(J35, G49, G74, K80)&gt;0, IF(I10&lt;50, "F", IF(I10&lt;60, "D", IF(I10&lt;75, "C", IF(I10&lt;90, "B", "A")))), " ")</f>
        <v xml:space="preserve"> </v>
      </c>
      <c r="J11" s="25"/>
      <c r="K11" s="8"/>
      <c r="M11" s="145" t="s">
        <v>156</v>
      </c>
      <c r="N11" s="145"/>
      <c r="O11" s="39" t="str">
        <f>IF(G49&gt;0, IF(O10&lt;50, "F", IF(O10&lt;60, "D", IF(O10&lt;75, "C", IF(O10&lt;90, "B", "A")))), " ")</f>
        <v xml:space="preserve"> </v>
      </c>
      <c r="P11" s="39" t="str">
        <f>IF(J35&gt;=10, IF(P10&lt;50, "F", IF(P10&lt;60, "D", IF(P10&lt;75, "C", IF(P10&lt;90, "B", "A")))), " ")</f>
        <v xml:space="preserve"> </v>
      </c>
      <c r="Q11" s="39" t="str">
        <f>IF(K80&gt;=10, IF(Q10&lt;50, "F", IF(Q10&lt;60, "D", IF(Q10&lt;75, "C", IF(Q10&lt;90, "B", "A")))), " ")</f>
        <v xml:space="preserve"> </v>
      </c>
      <c r="R11" s="39" t="str">
        <f>IF(G74&gt;=10, IF(R10&lt;50, "F", IF(R10&lt;60, "D", IF(R10&lt;75, "C", IF(R10&lt;90, "B", "A")))), " ")</f>
        <v xml:space="preserve"> </v>
      </c>
      <c r="S11" s="39" t="str">
        <f>IF(SUM(J35, G49, G74, K80)&gt;0, IF(S10&lt;50, "F", IF(S10&lt;60, "D", IF(S10&lt;75, "C", IF(S10&lt;90, "B", "A")))), " ")</f>
        <v xml:space="preserve"> </v>
      </c>
    </row>
    <row r="12" spans="1:21" ht="12" hidden="1" customHeight="1" x14ac:dyDescent="0.3">
      <c r="B12" s="145" t="s">
        <v>2</v>
      </c>
      <c r="C12" s="145"/>
      <c r="D12" s="79" t="str">
        <f>IF(G49&gt;0, SUM(F15:F29), " ")</f>
        <v xml:space="preserve"> </v>
      </c>
      <c r="E12" s="79" t="str">
        <f>IF(J35&gt;=10, SUM(G15:G29), " ")</f>
        <v xml:space="preserve"> </v>
      </c>
      <c r="F12" s="79" t="str">
        <f>IF(K80&gt;=10, SUM(H15:H29), " ")</f>
        <v xml:space="preserve"> </v>
      </c>
      <c r="G12" s="79" t="str">
        <f>IF(G74&gt;=10, SUM(I15:I29), " ")</f>
        <v xml:space="preserve"> </v>
      </c>
      <c r="H12" s="98" t="str">
        <f>IF(SUM(G49, J35)&gt;0, SUM(J15:J29), " ")</f>
        <v xml:space="preserve"> </v>
      </c>
      <c r="I12" s="39"/>
      <c r="J12" s="25"/>
      <c r="K12" s="8"/>
      <c r="M12" s="145" t="s">
        <v>2</v>
      </c>
      <c r="N12" s="145"/>
      <c r="O12" s="79" t="str">
        <f>IF(G49&gt;0, SUM(R15:R29), " ")</f>
        <v xml:space="preserve"> </v>
      </c>
      <c r="P12" s="79" t="str">
        <f>IF(J35&gt;=10, SUM(S15:S29), " ")</f>
        <v xml:space="preserve"> </v>
      </c>
      <c r="Q12" s="79" t="str">
        <f>IF(K80&gt;=10, SUM(T15:T29), " ")</f>
        <v xml:space="preserve"> </v>
      </c>
      <c r="R12" s="79" t="str">
        <f>IF(G74&gt;=10, SUM(U15:U29), " ")</f>
        <v xml:space="preserve"> </v>
      </c>
      <c r="S12" s="39"/>
    </row>
    <row r="13" spans="1:21" ht="19.899999999999999" hidden="1" customHeight="1" x14ac:dyDescent="0.3">
      <c r="D13" s="25" t="str">
        <f>IF(G49&gt;0, ROUND(D10*D12,3), " ")</f>
        <v xml:space="preserve"> </v>
      </c>
      <c r="E13" s="25" t="str">
        <f>IF(J35&gt;=10, ROUND(E10*E12,3), " ")</f>
        <v xml:space="preserve"> </v>
      </c>
      <c r="F13" s="25" t="str">
        <f>IF(K80&gt;=10, ROUND(F10*F12,3), " ")</f>
        <v xml:space="preserve"> </v>
      </c>
      <c r="G13" s="25" t="str">
        <f>IF(G74&gt;=10, ROUND(G10*G12,3), " ")</f>
        <v xml:space="preserve"> </v>
      </c>
      <c r="H13" s="25" t="str">
        <f>IF(SUM(G49, J35)&gt;0, ROUND(H10*H12,3), " ")</f>
        <v xml:space="preserve"> </v>
      </c>
      <c r="I13" s="25"/>
      <c r="J13" s="25"/>
      <c r="K13" s="8"/>
      <c r="O13" s="96" t="str">
        <f>IF(G49&gt;0, ROUND(O10*O12,3), " ")</f>
        <v xml:space="preserve"> </v>
      </c>
      <c r="P13" s="96" t="str">
        <f>IF(J35&gt;=10, ROUND(P10*P12,3), " ")</f>
        <v xml:space="preserve"> </v>
      </c>
      <c r="Q13" s="96" t="str">
        <f>IF(K80&gt;=10, ROUND(Q10*Q12,3), " ")</f>
        <v xml:space="preserve"> </v>
      </c>
      <c r="R13" s="96" t="str">
        <f>IF(G74&gt;=10, ROUND(R10*R12,3), " ")</f>
        <v xml:space="preserve"> </v>
      </c>
      <c r="S13" s="95"/>
    </row>
    <row r="14" spans="1:21" ht="14.5" hidden="1" x14ac:dyDescent="0.35">
      <c r="A14" s="75" t="s">
        <v>36</v>
      </c>
      <c r="B14" s="165" t="s">
        <v>37</v>
      </c>
      <c r="C14" s="166"/>
      <c r="D14" s="166"/>
      <c r="E14" s="167"/>
      <c r="F14" s="92" t="s">
        <v>99</v>
      </c>
      <c r="G14" s="92" t="s">
        <v>100</v>
      </c>
      <c r="H14" s="92" t="s">
        <v>101</v>
      </c>
      <c r="I14" s="92" t="s">
        <v>102</v>
      </c>
      <c r="J14" s="93" t="s">
        <v>140</v>
      </c>
      <c r="K14" s="91"/>
      <c r="L14" s="91"/>
      <c r="M14" s="87" t="s">
        <v>36</v>
      </c>
      <c r="N14" s="165" t="s">
        <v>37</v>
      </c>
      <c r="O14" s="166"/>
      <c r="P14" s="166"/>
      <c r="Q14" s="167"/>
      <c r="R14" s="92" t="s">
        <v>99</v>
      </c>
      <c r="S14" s="92" t="s">
        <v>100</v>
      </c>
      <c r="T14" s="92" t="s">
        <v>101</v>
      </c>
      <c r="U14" s="92" t="s">
        <v>102</v>
      </c>
    </row>
    <row r="15" spans="1:21" ht="14.5" hidden="1" x14ac:dyDescent="0.35">
      <c r="A15" s="26">
        <v>1</v>
      </c>
      <c r="B15" s="135" t="s">
        <v>141</v>
      </c>
      <c r="C15" s="136"/>
      <c r="D15" s="136"/>
      <c r="E15" s="137"/>
      <c r="F15" s="27">
        <f>IF(AND(G49&gt;0, J35&gt;=10, K80&gt;=10, G74&gt;=10, SUM(G49, J35)&gt;0), 0.25, 0)</f>
        <v>0</v>
      </c>
      <c r="G15" s="27">
        <f>IF(AND(G49&gt;0, J35&gt;=10, K80&gt;=10, G74&gt;=10, SUM(G49, J35)&gt;0), 0.25, 0)</f>
        <v>0</v>
      </c>
      <c r="H15" s="27">
        <f>IF(AND(G49&gt;0, J35&gt;=10, K80&gt;=10, G74&gt;=10, SUM(G49, J35)&gt;0), 0.25, 0)</f>
        <v>0</v>
      </c>
      <c r="I15" s="27">
        <f>IF(AND(G49&gt;0, J35&gt;=10, K80&gt;=10, G74&gt;=10, SUM(G49, J35)&gt;0), 0.2, 0)</f>
        <v>0</v>
      </c>
      <c r="J15" s="26">
        <f>IF(AND(G49&gt;0, J35&gt;=10, K80&gt;=10, G74&gt;=10, SUM(G49, J35)&gt;0), 0.05, 0)</f>
        <v>0</v>
      </c>
      <c r="K15" s="90"/>
      <c r="L15" s="90"/>
      <c r="M15" s="26">
        <v>16</v>
      </c>
      <c r="N15" s="135" t="s">
        <v>84</v>
      </c>
      <c r="O15" s="136"/>
      <c r="P15" s="136"/>
      <c r="Q15" s="137"/>
      <c r="R15" s="27">
        <f>IF(AND(G49&gt;0, J35&gt;=10, K80&gt;=10, G74&gt;=10), 0.25, 0)</f>
        <v>0</v>
      </c>
      <c r="S15" s="27">
        <f>IF(AND(G49&gt;0, J35&gt;=10, K80&gt;=10, G74&gt;=10), 0.25, 0)</f>
        <v>0</v>
      </c>
      <c r="T15" s="27">
        <f>IF(AND(G49&gt;0, J35&gt;=10, K80&gt;=10, G74&gt;=10), 0.25, 0)</f>
        <v>0</v>
      </c>
      <c r="U15" s="27">
        <f>IF(AND(G49&gt;0, J35&gt;=10, K80&gt;=10, G74&gt;=10), 0.25, 0)</f>
        <v>0</v>
      </c>
    </row>
    <row r="16" spans="1:21" ht="14.5" hidden="1" x14ac:dyDescent="0.35">
      <c r="A16" s="26">
        <v>2</v>
      </c>
      <c r="B16" s="135" t="s">
        <v>142</v>
      </c>
      <c r="C16" s="136"/>
      <c r="D16" s="136"/>
      <c r="E16" s="137"/>
      <c r="F16" s="27">
        <f>IF(AND(G49&gt;0, J35&gt;=10, K80&gt;=10, G74&lt;10, SUM(G49, J35)&gt;0), 0.3167, 0)</f>
        <v>0</v>
      </c>
      <c r="G16" s="27">
        <f>IF(AND(G49&gt;0, J35&gt;=10, K80&gt;=10, G74&lt;10, SUM(G49, J35)&gt;0), 0.3167, 0)</f>
        <v>0</v>
      </c>
      <c r="H16" s="27">
        <f>IF(AND(G49&gt;0, J35&gt;=10, K80&gt;=10, G74&lt;10, SUM(G49, J35)&gt;0), 0.3167, 0)</f>
        <v>0</v>
      </c>
      <c r="I16" s="27">
        <f>IF(AND(G49&gt;0, J35&gt;=10, K80&gt;=10, G74&lt;10, SUM(G49, J35)&gt;0), 0, 0)</f>
        <v>0</v>
      </c>
      <c r="J16" s="26">
        <f>IF(AND(G49&gt;0, J35&gt;=10, K80&gt;=10, G74&lt;10, SUM(G49, J35)&gt;0), 0.05, 0)</f>
        <v>0</v>
      </c>
      <c r="K16" s="90"/>
      <c r="L16" s="90"/>
      <c r="M16" s="26">
        <v>17</v>
      </c>
      <c r="N16" s="135" t="s">
        <v>85</v>
      </c>
      <c r="O16" s="136"/>
      <c r="P16" s="136"/>
      <c r="Q16" s="137"/>
      <c r="R16" s="27">
        <f>IF(AND(G49&gt;0, J35&gt;=10, K80&gt;=10, G74&lt;10), 0.3333, 0)</f>
        <v>0</v>
      </c>
      <c r="S16" s="27">
        <f>IF(AND(G49&gt;0, J35&gt;=10, K80&gt;=10, G74&lt;10), 0.3333, 0)</f>
        <v>0</v>
      </c>
      <c r="T16" s="27">
        <f>IF(AND(G49&gt;0, J35&gt;=10, K80&gt;=10, G74&lt;10), 0.3333, 0)</f>
        <v>0</v>
      </c>
      <c r="U16" s="27">
        <v>0</v>
      </c>
    </row>
    <row r="17" spans="1:21" ht="14.5" hidden="1" x14ac:dyDescent="0.35">
      <c r="A17" s="26">
        <v>3</v>
      </c>
      <c r="B17" s="135" t="s">
        <v>143</v>
      </c>
      <c r="C17" s="136"/>
      <c r="D17" s="136"/>
      <c r="E17" s="137"/>
      <c r="F17" s="27">
        <f>IF(AND(G49&gt;0, J35&gt;=10, K80&lt;10, G74&gt;=10, SUM(G49, J35)&gt;0), 0.3333, 0)</f>
        <v>0</v>
      </c>
      <c r="G17" s="27">
        <f>IF(AND(G49&gt;0, J35&gt;=10, K80&lt;10, G74&gt;=10, SUM(G49, J35)&gt;0), 0.3333, 0)</f>
        <v>0</v>
      </c>
      <c r="H17" s="27">
        <f>IF(AND(G49&gt;0, J35&gt;=10, K80&lt;10, G74&gt;=10, SUM(G49, J35)&gt;0), 0, 0)</f>
        <v>0</v>
      </c>
      <c r="I17" s="27">
        <f>IF(AND(G49&gt;0, J35&gt;=10, K80&lt;10, G74&gt;=10, SUM(G49, J35)&gt;0), 0.2833, 0)</f>
        <v>0</v>
      </c>
      <c r="J17" s="26">
        <f>IF(AND(G49&gt;0, J35&gt;=10, K80&lt;10, G74&gt;=10, SUM(G49, J35)&gt;0), 0.05, 0)</f>
        <v>0</v>
      </c>
      <c r="K17" s="90"/>
      <c r="L17" s="90"/>
      <c r="M17" s="26">
        <v>18</v>
      </c>
      <c r="N17" s="135" t="s">
        <v>86</v>
      </c>
      <c r="O17" s="136"/>
      <c r="P17" s="136"/>
      <c r="Q17" s="137"/>
      <c r="R17" s="27">
        <f>IF(AND(G49&gt;0, J35&gt;=10, K80&lt;10, G74&gt;=10), 0.3333, 0)</f>
        <v>0</v>
      </c>
      <c r="S17" s="27">
        <f>IF(AND(G49&gt;0, J35&gt;=10, K80&lt;10, G74&gt;=10), 0.3333, 0)</f>
        <v>0</v>
      </c>
      <c r="T17" s="27">
        <v>0</v>
      </c>
      <c r="U17" s="27">
        <f>IF(AND(G49&gt;0, J35&gt;=10, K80&lt;10, G74&gt;=10), 0.3333, 0)</f>
        <v>0</v>
      </c>
    </row>
    <row r="18" spans="1:21" ht="14.5" hidden="1" x14ac:dyDescent="0.35">
      <c r="A18" s="26">
        <v>4</v>
      </c>
      <c r="B18" s="135" t="s">
        <v>144</v>
      </c>
      <c r="C18" s="136"/>
      <c r="D18" s="136"/>
      <c r="E18" s="137"/>
      <c r="F18" s="27">
        <f>IF(AND(G49&gt;0, J35&lt;10, K80&gt;=10, G74&gt;=10, SUM(G49, J35)&gt;0), 0.3333, 0)</f>
        <v>0</v>
      </c>
      <c r="G18" s="27">
        <f>IF(AND(G49&gt;0, J35&lt;10, K80&gt;=10, G74&gt;=10, SUM(G49, J35)&gt;0), 0, 0)</f>
        <v>0</v>
      </c>
      <c r="H18" s="27">
        <f>IF(AND(G49&gt;0, J35&lt;10, K80&gt;=10, G74&gt;=10, SUM(G49, J35)&gt;0), 0.3333, 0)</f>
        <v>0</v>
      </c>
      <c r="I18" s="27">
        <f>IF(AND(G49&gt;0, J35&lt;10, K80&gt;=10, G74&gt;=10, SUM(G49, J35)&gt;0), 0.2833, 0)</f>
        <v>0</v>
      </c>
      <c r="J18" s="26">
        <f>IF(AND(G49&gt;0, J35&lt;10, K80&gt;=10, G74&gt;=10, SUM(G49, J35)&gt;0), 0.05, 0)</f>
        <v>0</v>
      </c>
      <c r="K18" s="90"/>
      <c r="L18" s="90"/>
      <c r="M18" s="26">
        <v>19</v>
      </c>
      <c r="N18" s="135" t="s">
        <v>87</v>
      </c>
      <c r="O18" s="136"/>
      <c r="P18" s="136"/>
      <c r="Q18" s="137"/>
      <c r="R18" s="27">
        <f>IF(AND(G49&gt;0, J35&lt;10, K80&gt;=10, G74&gt;=10), 0.3333, 0)</f>
        <v>0</v>
      </c>
      <c r="S18" s="27">
        <f>IF(AND(G49&gt;0, J35&lt;10, K80&gt;=10, G74&gt;=10), 0.3333, 0)</f>
        <v>0</v>
      </c>
      <c r="T18" s="27">
        <f>IF(AND(G49&gt;0, J35&lt;10, K80&gt;=10, G74&gt;=10), 0.3333, 0)</f>
        <v>0</v>
      </c>
      <c r="U18" s="27">
        <f>IF(AND(G49&gt;0, J35&lt;10, K80&gt;=10, G74&gt;=10), 0.3333, 0)</f>
        <v>0</v>
      </c>
    </row>
    <row r="19" spans="1:21" ht="14.5" hidden="1" x14ac:dyDescent="0.35">
      <c r="A19" s="26">
        <v>5</v>
      </c>
      <c r="B19" s="135" t="s">
        <v>145</v>
      </c>
      <c r="C19" s="136"/>
      <c r="D19" s="136"/>
      <c r="E19" s="137"/>
      <c r="F19" s="27">
        <f>IF(AND(G49=0, J35&gt;=10, K80&gt;=10, G74&gt;=10, SUM(G49, J35)&gt;0), 0, 0)</f>
        <v>0</v>
      </c>
      <c r="G19" s="27">
        <f>IF(AND(G49=0, J35&gt;=10, K80&gt;=10, G74&gt;=10, SUM(G49, J35)&gt;0), 0.3333, 0)</f>
        <v>0</v>
      </c>
      <c r="H19" s="27">
        <f>IF(AND(G49=0, J35&gt;=10, K80&gt;=10, G74&gt;=10, SUM(G49, J35)&gt;0), 0.3333, 0)</f>
        <v>0</v>
      </c>
      <c r="I19" s="27">
        <f>IF(AND(G49=0, J35&gt;=10, K80&gt;=10, G74&gt;=10, SUM(G49, J35)&gt;0), 0.2833, 0)</f>
        <v>0</v>
      </c>
      <c r="J19" s="26">
        <f>IF(AND(G49=0, J35&gt;=10, K80&gt;=10, G74&gt;=10, SUM(G49, J35)&gt;0), 0.05, 0)</f>
        <v>0</v>
      </c>
      <c r="K19" s="90"/>
      <c r="L19" s="90"/>
      <c r="M19" s="26">
        <v>20</v>
      </c>
      <c r="N19" s="135" t="s">
        <v>88</v>
      </c>
      <c r="O19" s="136"/>
      <c r="P19" s="136"/>
      <c r="Q19" s="137"/>
      <c r="R19" s="27">
        <v>0</v>
      </c>
      <c r="S19" s="27">
        <f>IF(AND(G49&lt;1, J35&gt;=10, K80&gt;=10, G74&gt;=10), 0.3333, 0)</f>
        <v>0</v>
      </c>
      <c r="T19" s="27">
        <f>IF(AND(G49&lt;1, J35&gt;=10, K80&gt;=10, G74&gt;=10), 0.3333, 0)</f>
        <v>0</v>
      </c>
      <c r="U19" s="27">
        <f>IF(AND(G49&lt;1, J35&gt;=10, K80&gt;=10, G74&gt;=10), 0.3333, 0)</f>
        <v>0</v>
      </c>
    </row>
    <row r="20" spans="1:21" ht="14.5" hidden="1" x14ac:dyDescent="0.35">
      <c r="A20" s="26">
        <v>6</v>
      </c>
      <c r="B20" s="135" t="s">
        <v>146</v>
      </c>
      <c r="C20" s="136"/>
      <c r="D20" s="136"/>
      <c r="E20" s="137"/>
      <c r="F20" s="27">
        <f>IF(AND(G49&gt;0, J35&gt;=10, K80&lt;10, G74&lt;10, SUM(G49, J35)&gt;0), 0.475, 0)</f>
        <v>0</v>
      </c>
      <c r="G20" s="27">
        <f>IF(AND(G49&gt;0, J35&gt;=10, K80&lt;10, G74&lt;10, SUM(G49, J35)&gt;0), 0.475, 0)</f>
        <v>0</v>
      </c>
      <c r="H20" s="27">
        <f>IF(AND(G49&gt;0, J35&gt;=10, K80&lt;10, G74&lt;10, SUM(G49, J35)&gt;0), 0, 0)</f>
        <v>0</v>
      </c>
      <c r="I20" s="27">
        <f>IF(AND(G49&gt;0, J35&gt;=10, K80&lt;10, G74&lt;10, SUM(G49, J35)&gt;0), 0, 0)</f>
        <v>0</v>
      </c>
      <c r="J20" s="26">
        <f>IF(AND(G49&gt;0, J35&gt;=10, K80&lt;10, G74&lt;10, SUM(G49, J35)&gt;0), 0.05, 0)</f>
        <v>0</v>
      </c>
      <c r="K20" s="90"/>
      <c r="L20" s="90"/>
      <c r="M20" s="26">
        <v>21</v>
      </c>
      <c r="N20" s="135" t="s">
        <v>89</v>
      </c>
      <c r="O20" s="136"/>
      <c r="P20" s="136"/>
      <c r="Q20" s="137"/>
      <c r="R20" s="27">
        <f>IF(AND(G49&gt;0, J35&gt;=10, K80&lt;10, G74&lt;10), 0.5, 0)</f>
        <v>0</v>
      </c>
      <c r="S20" s="27">
        <f>IF(AND(G49&gt;0, J35&gt;=10, K80&lt;10, G74&lt;10), 0.5, 0)</f>
        <v>0</v>
      </c>
      <c r="T20" s="27">
        <v>0</v>
      </c>
      <c r="U20" s="27">
        <v>0</v>
      </c>
    </row>
    <row r="21" spans="1:21" ht="14.5" hidden="1" x14ac:dyDescent="0.35">
      <c r="A21" s="26">
        <v>7</v>
      </c>
      <c r="B21" s="135" t="s">
        <v>147</v>
      </c>
      <c r="C21" s="136"/>
      <c r="D21" s="136"/>
      <c r="E21" s="137"/>
      <c r="F21" s="27">
        <f>IF(AND(G49&gt;0, J35&lt;10, K80&gt;=10, G74&lt;10, SUM(G49, J35)&gt;0), 0.475, 0)</f>
        <v>0</v>
      </c>
      <c r="G21" s="27">
        <f>IF(AND(G49&gt;0, J35&lt;10, K80&gt;=10, G74&lt;10, SUM(G49, J35)&gt;0), 0, 0)</f>
        <v>0</v>
      </c>
      <c r="H21" s="27">
        <f>IF(AND(G49&gt;0, J35&lt;10, K80&gt;=10, G74&lt;10, SUM(G49, J35)&gt;0), 0.475, 0)</f>
        <v>0</v>
      </c>
      <c r="I21" s="27">
        <f>IF(AND(G49&gt;0, J35&lt;10, K80&gt;=10, G74&lt;10, SUM(G49, J35)&gt;0), 0, 0)</f>
        <v>0</v>
      </c>
      <c r="J21" s="26">
        <f>IF(AND(G49&gt;0, J35&lt;10, K80&gt;=10, G74&lt;10, SUM(G49, J35)&gt;0), 0.05, 0)</f>
        <v>0</v>
      </c>
      <c r="K21" s="90"/>
      <c r="L21" s="90"/>
      <c r="M21" s="26">
        <v>22</v>
      </c>
      <c r="N21" s="135" t="s">
        <v>90</v>
      </c>
      <c r="O21" s="136"/>
      <c r="P21" s="136"/>
      <c r="Q21" s="137"/>
      <c r="R21" s="27">
        <f>IF(AND(G49&gt;0, J35&lt;10, K80&gt;=10, G74&lt;10), 0.5, 0)</f>
        <v>0</v>
      </c>
      <c r="S21" s="27">
        <v>0</v>
      </c>
      <c r="T21" s="27">
        <f>IF(AND(G49&gt;0, J35&lt;10, K80&gt;=10, G74&lt;10), 0.5, 0)</f>
        <v>0</v>
      </c>
      <c r="U21" s="27">
        <v>0</v>
      </c>
    </row>
    <row r="22" spans="1:21" ht="14.5" hidden="1" x14ac:dyDescent="0.35">
      <c r="A22" s="26">
        <v>8</v>
      </c>
      <c r="B22" s="135" t="s">
        <v>148</v>
      </c>
      <c r="C22" s="136"/>
      <c r="D22" s="136"/>
      <c r="E22" s="137"/>
      <c r="F22" s="27">
        <f>IF(AND(G49&gt;0, J35&lt;10, K80&lt;10, G74&gt;=10, SUM(G49, J35)&gt;0), 0.5, 0)</f>
        <v>0</v>
      </c>
      <c r="G22" s="27">
        <f>IF(AND(G49&gt;0, J35&lt;10, K80&lt;10, G74&gt;=10, SUM(G49, J35)&gt;0), 0, 0)</f>
        <v>0</v>
      </c>
      <c r="H22" s="28">
        <f>IF(AND(G49&gt;0, J35&lt;10, K80&lt;10, G74&gt;=10, SUM(G49, J35)&gt;0), 0, 0)</f>
        <v>0</v>
      </c>
      <c r="I22" s="27">
        <f>IF(AND(G49&gt;0, J35&lt;10, K80&lt;10, G74&gt;=10, SUM(G49, J35)&gt;0), 0.45, 0)</f>
        <v>0</v>
      </c>
      <c r="J22" s="26">
        <f>IF(AND(G49&gt;0, J35&lt;10, K80&lt;10, G74&gt;=10, SUM(G49, J35)&gt;0), 0.05, 0)</f>
        <v>0</v>
      </c>
      <c r="K22" s="90"/>
      <c r="L22" s="90"/>
      <c r="M22" s="26">
        <v>23</v>
      </c>
      <c r="N22" s="135" t="s">
        <v>91</v>
      </c>
      <c r="O22" s="136"/>
      <c r="P22" s="136"/>
      <c r="Q22" s="137"/>
      <c r="R22" s="27">
        <f>IF(AND(G49&gt;0, J35&lt;10, K80&lt;10, G74&gt;=10), 0.5, 0)</f>
        <v>0</v>
      </c>
      <c r="S22" s="27">
        <v>0</v>
      </c>
      <c r="T22" s="28">
        <v>0</v>
      </c>
      <c r="U22" s="27">
        <f>IF(AND(G49&gt;0, J35&lt;10, K80&lt;10, G74&gt;=10), 0.5, 0)</f>
        <v>0</v>
      </c>
    </row>
    <row r="23" spans="1:21" ht="14.5" hidden="1" x14ac:dyDescent="0.35">
      <c r="A23" s="26">
        <v>9</v>
      </c>
      <c r="B23" s="135" t="s">
        <v>149</v>
      </c>
      <c r="C23" s="136"/>
      <c r="D23" s="136"/>
      <c r="E23" s="137"/>
      <c r="F23" s="27">
        <f>IF(AND(G49=0, J35&gt;=10, K80&gt;=10, G74&lt;10, SUM(G49, J35)&gt;0), 0, 0)</f>
        <v>0</v>
      </c>
      <c r="G23" s="27">
        <f>IF(AND(G49=0, J35&gt;=10, K80&gt;=10, G74&lt;10, SUM(G49, J35)&gt;0), 0.475, 0)</f>
        <v>0</v>
      </c>
      <c r="H23" s="27">
        <f>IF(AND(G49=0, J35&gt;=10, K80&gt;=10, G74&lt;10, SUM(G49, J35)&gt;0), 0.475, 0)</f>
        <v>0</v>
      </c>
      <c r="I23" s="27">
        <f>IF(AND(G49=0, J35&gt;=10, K80&gt;=10, G74&lt;10, SUM(G49, J35)&gt;0), 0, 0)</f>
        <v>0</v>
      </c>
      <c r="J23" s="26">
        <f>IF(AND(G49=0, J35&gt;=10, K80&gt;=10, G74&lt;10, SUM(G49, J35)&gt;0), 0.05, 0)</f>
        <v>0</v>
      </c>
      <c r="K23" s="90"/>
      <c r="L23" s="90"/>
      <c r="M23" s="26">
        <v>24</v>
      </c>
      <c r="N23" s="135" t="s">
        <v>92</v>
      </c>
      <c r="O23" s="136"/>
      <c r="P23" s="136"/>
      <c r="Q23" s="137"/>
      <c r="R23" s="27">
        <v>0</v>
      </c>
      <c r="S23" s="27">
        <f>IF(AND(G49&lt;1, J35&gt;=10, K80&gt;=10, G74&lt;10), 0.5, 0)</f>
        <v>0</v>
      </c>
      <c r="T23" s="27">
        <f>IF(AND(G49&lt;1, J35&gt;=10, K80&gt;=10, G74&lt;10), 0.5, 0)</f>
        <v>0</v>
      </c>
      <c r="U23" s="27">
        <v>0</v>
      </c>
    </row>
    <row r="24" spans="1:21" ht="14.5" hidden="1" x14ac:dyDescent="0.35">
      <c r="A24" s="26">
        <v>10</v>
      </c>
      <c r="B24" s="135" t="s">
        <v>150</v>
      </c>
      <c r="C24" s="136"/>
      <c r="D24" s="136"/>
      <c r="E24" s="137"/>
      <c r="F24" s="27">
        <f>IF(AND(G49=0, J35&gt;=10, K80&lt;10, G74&gt;=10, SUM(G49, J35)&gt;0), 0, 0)</f>
        <v>0</v>
      </c>
      <c r="G24" s="27">
        <f>IF(AND(G49=0, J35&gt;=10, K80&lt;10, G74&gt;=10, SUM(G49, J35)&gt;0), 0.5, 0)</f>
        <v>0</v>
      </c>
      <c r="H24" s="27">
        <f>IF(AND(G49=0, J35&gt;=10, K80&lt;10, G74&gt;=10, SUM(G49, J35)&gt;0), 0, 0)</f>
        <v>0</v>
      </c>
      <c r="I24" s="27">
        <f>IF(AND(G49=0, J35&gt;=10, K80&lt;10, G74&gt;=10, SUM(G49, J35)&gt;0), 0.45, 0)</f>
        <v>0</v>
      </c>
      <c r="J24" s="26">
        <f>IF(AND(G49=0, J35&gt;=10, K80&lt;10, G74&gt;=10, SUM(G49, J35)&gt;0), 0.05, 0)</f>
        <v>0</v>
      </c>
      <c r="K24" s="90"/>
      <c r="L24" s="90"/>
      <c r="M24" s="26">
        <v>25</v>
      </c>
      <c r="N24" s="135" t="s">
        <v>93</v>
      </c>
      <c r="O24" s="136"/>
      <c r="P24" s="136"/>
      <c r="Q24" s="137"/>
      <c r="R24" s="27">
        <v>0</v>
      </c>
      <c r="S24" s="27">
        <f>IF(AND(G49&lt;1, J35&gt;=10, K80&lt;10, G74&gt;=10), 0.5, 0)</f>
        <v>0</v>
      </c>
      <c r="T24" s="27">
        <v>0</v>
      </c>
      <c r="U24" s="27">
        <f>IF(AND(G49&lt;1, J35&gt;=10, K80&lt;10, G74&gt;=10), 0.5, 0)</f>
        <v>0</v>
      </c>
    </row>
    <row r="25" spans="1:21" ht="14.5" hidden="1" x14ac:dyDescent="0.35">
      <c r="A25" s="26">
        <v>11</v>
      </c>
      <c r="B25" s="135" t="s">
        <v>151</v>
      </c>
      <c r="C25" s="136"/>
      <c r="D25" s="136"/>
      <c r="E25" s="137"/>
      <c r="F25" s="27">
        <f>IF(AND(G49=0, J35&lt;10, K80&gt;=10, G74&gt;=10, SUM(G49, J35)&gt;0), 0, 0)</f>
        <v>0</v>
      </c>
      <c r="G25" s="27">
        <f>IF(AND(G49=0, J35&lt;10, K80&gt;=10, G74&gt;=10, SUM(G49, J35)&gt;0), 0, 0)</f>
        <v>0</v>
      </c>
      <c r="H25" s="27">
        <f>IF(AND(G49=0, J35&lt;10, K80&gt;=10, G74&gt;=10, SUM(G49, J35)&gt;0), 0.5, 0)</f>
        <v>0</v>
      </c>
      <c r="I25" s="27">
        <f>IF(AND(G49=0, J35&lt;10, K80&gt;=10, G74&gt;=10, SUM(G49, J35)&gt;0), 0.45, 0)</f>
        <v>0</v>
      </c>
      <c r="J25" s="26">
        <f>IF(AND(G49=0, J35&lt;10, K80&gt;=10, G74&gt;=10, SUM(G49, J35)&gt;0), 0.05, 0)</f>
        <v>0</v>
      </c>
      <c r="K25" s="90"/>
      <c r="L25" s="90"/>
      <c r="M25" s="26">
        <v>26</v>
      </c>
      <c r="N25" s="135" t="s">
        <v>94</v>
      </c>
      <c r="O25" s="136"/>
      <c r="P25" s="136"/>
      <c r="Q25" s="137"/>
      <c r="R25" s="27">
        <v>0</v>
      </c>
      <c r="S25" s="27">
        <v>0</v>
      </c>
      <c r="T25" s="27">
        <f>IF(AND(G49&lt;1, J35&lt;10, K80&gt;=10, G74&gt;=10), 0.5, 0)</f>
        <v>0</v>
      </c>
      <c r="U25" s="27">
        <f>IF(AND(G49&lt;1, J35&lt;10, K80&gt;=10, G74&gt;=10), 0.5, 0)</f>
        <v>0</v>
      </c>
    </row>
    <row r="26" spans="1:21" ht="14.5" hidden="1" x14ac:dyDescent="0.35">
      <c r="A26" s="26">
        <v>12</v>
      </c>
      <c r="B26" s="135" t="s">
        <v>152</v>
      </c>
      <c r="C26" s="136"/>
      <c r="D26" s="136"/>
      <c r="E26" s="137"/>
      <c r="F26" s="27">
        <f>IF(AND(G49&gt;0, J35&lt;10, K80&lt;10, G74&lt;10, SUM(G49, J35)&gt;0), 0.95, 0)</f>
        <v>0</v>
      </c>
      <c r="G26" s="27">
        <f>IF(AND(G49&gt;0, J35&lt;10, K80&lt;10, G74&lt;10, SUM(G49, J35)&gt;0), 0, 0)</f>
        <v>0</v>
      </c>
      <c r="H26" s="27">
        <f>IF(AND(G49&gt;0, J35&lt;10, K80&lt;10, G74&lt;10, SUM(G49, J35)&gt;0), 0, 0)</f>
        <v>0</v>
      </c>
      <c r="I26" s="27">
        <f>IF(AND(G49&gt;0, J35&lt;10, K80&lt;10, G74&lt;10, SUM(G49, J35)&gt;0), 0, 0)</f>
        <v>0</v>
      </c>
      <c r="J26" s="26">
        <f>IF(AND(G49&gt;0, J35&lt;10, K80&lt;10, G74&lt;10, SUM(G49, J35)&gt;0), 0.05, 0)</f>
        <v>0</v>
      </c>
      <c r="K26" s="90"/>
      <c r="L26" s="90"/>
      <c r="M26" s="26">
        <v>27</v>
      </c>
      <c r="N26" s="135" t="s">
        <v>95</v>
      </c>
      <c r="O26" s="136"/>
      <c r="P26" s="136"/>
      <c r="Q26" s="137"/>
      <c r="R26" s="27">
        <f>IF(AND(G49&gt;0, J35&lt;10, K80&lt;10, G74&lt;10), 1, 0)</f>
        <v>0</v>
      </c>
      <c r="S26" s="27">
        <v>0</v>
      </c>
      <c r="T26" s="27">
        <v>0</v>
      </c>
      <c r="U26" s="27">
        <v>0</v>
      </c>
    </row>
    <row r="27" spans="1:21" ht="14.5" hidden="1" x14ac:dyDescent="0.35">
      <c r="A27" s="26">
        <v>13</v>
      </c>
      <c r="B27" s="135" t="s">
        <v>153</v>
      </c>
      <c r="C27" s="136"/>
      <c r="D27" s="136"/>
      <c r="E27" s="137"/>
      <c r="F27" s="27">
        <f>IF(AND(G49=0, J35&gt;=10, K80&lt;10, G74&lt;10, SUM(G49, J35)&gt;0), 0, 0)</f>
        <v>0</v>
      </c>
      <c r="G27" s="27">
        <f>IF(AND(G49=0, J35&gt;=10, K80&lt;10, G74&lt;10, SUM(G49, J35)&gt;0), 0.95, 0)</f>
        <v>0</v>
      </c>
      <c r="H27" s="27">
        <f>IF(AND(G49=0, J35&gt;=10, K80&lt;10, G74&lt;10, SUM(G49, J35)&gt;0), 0, 0)</f>
        <v>0</v>
      </c>
      <c r="I27" s="27">
        <f>IF(AND(G49=0, J35&gt;=10, K80&lt;10, G74&lt;10, SUM(G49, J35)&gt;0), 0, 0)</f>
        <v>0</v>
      </c>
      <c r="J27" s="26">
        <f>IF(AND(G49=0, J35&gt;=10, K80&lt;10, G74&lt;10, SUM(G49, J35)&gt;0), 0.05, 0)</f>
        <v>0</v>
      </c>
      <c r="K27" s="90"/>
      <c r="L27" s="90"/>
      <c r="M27" s="26">
        <v>28</v>
      </c>
      <c r="N27" s="135" t="s">
        <v>96</v>
      </c>
      <c r="O27" s="136"/>
      <c r="P27" s="136"/>
      <c r="Q27" s="137"/>
      <c r="R27" s="27">
        <v>0</v>
      </c>
      <c r="S27" s="27">
        <f>IF(AND(G49&lt;1, J35&gt;=10, K80&lt;10, G74&lt;10), 1, 0)</f>
        <v>0</v>
      </c>
      <c r="T27" s="27">
        <v>0</v>
      </c>
      <c r="U27" s="27">
        <v>0</v>
      </c>
    </row>
    <row r="28" spans="1:21" ht="14.5" hidden="1" x14ac:dyDescent="0.35">
      <c r="A28" s="26">
        <v>14</v>
      </c>
      <c r="B28" s="135" t="s">
        <v>154</v>
      </c>
      <c r="C28" s="136"/>
      <c r="D28" s="136"/>
      <c r="E28" s="137"/>
      <c r="F28" s="27">
        <f>IF(AND(G49=0, J35&lt;10, K80&gt;=10, G74&lt;10, SUM(G49, J35)&gt;0), 0, 0)</f>
        <v>0</v>
      </c>
      <c r="G28" s="27">
        <f>IF(AND(G49=0, J35&lt;10, K80&gt;=10, G74&lt;10, SUM(G49, J35)&gt;0), 0, 0)</f>
        <v>0</v>
      </c>
      <c r="H28" s="27">
        <f>IF(AND(G49=0, J35&lt;10, K80&gt;=10, G74&lt;10, SUM(G49, J35)&gt;0), 0.95, 0)</f>
        <v>0</v>
      </c>
      <c r="I28" s="27">
        <f>IF(AND(G49=0, J35&lt;10, K80&gt;=10, G74&lt;10, SUM(G49, J35)&gt;0), 0, 0)</f>
        <v>0</v>
      </c>
      <c r="J28" s="26">
        <f>IF(AND(G49=0, J35&lt;10, K80&gt;=10, G74&lt;10, SUM(G49, J35)&gt;0), 0.05, 0)</f>
        <v>0</v>
      </c>
      <c r="K28" s="90"/>
      <c r="L28" s="90"/>
      <c r="M28" s="26">
        <v>29</v>
      </c>
      <c r="N28" s="135" t="s">
        <v>97</v>
      </c>
      <c r="O28" s="136"/>
      <c r="P28" s="136"/>
      <c r="Q28" s="137"/>
      <c r="R28" s="27">
        <v>0</v>
      </c>
      <c r="S28" s="27">
        <v>0</v>
      </c>
      <c r="T28" s="27">
        <f>IF(AND(G49&lt;1, J35&lt;10, K80&gt;=10, G74&lt;10), 1, 0)</f>
        <v>0</v>
      </c>
      <c r="U28" s="27">
        <v>0</v>
      </c>
    </row>
    <row r="29" spans="1:21" ht="14.5" hidden="1" x14ac:dyDescent="0.35">
      <c r="A29" s="26">
        <v>15</v>
      </c>
      <c r="B29" s="135" t="s">
        <v>155</v>
      </c>
      <c r="C29" s="136"/>
      <c r="D29" s="136"/>
      <c r="E29" s="137"/>
      <c r="F29" s="27">
        <f>IF(AND(G49=0, J35&lt;10, K80&lt;10, G74&gt;=10, SUM(G49, J35)&gt;0), 0, 0)</f>
        <v>0</v>
      </c>
      <c r="G29" s="27">
        <f>IF(AND(G49=0, J35&lt;10, K80&lt;10, G74&gt;=10, SUM(G49, J35)&gt;0), 0, 0)</f>
        <v>0</v>
      </c>
      <c r="H29" s="27">
        <f>IF(AND(G49=0, J35&lt;10, K80&lt;10, G74&gt;=10, SUM(G49, J35)&gt;0), 0, 0)</f>
        <v>0</v>
      </c>
      <c r="I29" s="27">
        <f>IF(AND(G49=0, J35&lt;10, K80&lt;10, G74&gt;=10, SUM(G49, J35)&gt;0), 0.95, 0)</f>
        <v>0</v>
      </c>
      <c r="J29" s="26">
        <f>IF(AND(G49=0, J35&lt;10, K80&lt;10, G74&gt;=10, SUM(G49, J35)&gt;0), 0.05, 0)</f>
        <v>0</v>
      </c>
      <c r="K29" s="90"/>
      <c r="L29" s="90"/>
      <c r="M29" s="26">
        <v>30</v>
      </c>
      <c r="N29" s="135" t="s">
        <v>98</v>
      </c>
      <c r="O29" s="136"/>
      <c r="P29" s="136"/>
      <c r="Q29" s="137"/>
      <c r="R29" s="27">
        <v>0</v>
      </c>
      <c r="S29" s="27">
        <v>0</v>
      </c>
      <c r="T29" s="27">
        <v>0</v>
      </c>
      <c r="U29" s="27">
        <f>IF(AND(G49&lt;1, J35&lt;10, K80&lt;10, G74&gt;=10), 1, 0)</f>
        <v>0</v>
      </c>
    </row>
    <row r="30" spans="1:21" hidden="1" x14ac:dyDescent="0.3">
      <c r="D30" s="5"/>
      <c r="E30" s="5"/>
      <c r="F30" s="23"/>
      <c r="G30" s="23"/>
      <c r="H30" s="23"/>
      <c r="I30" s="24"/>
    </row>
    <row r="31" spans="1:21" hidden="1" x14ac:dyDescent="0.3">
      <c r="F31" s="193"/>
      <c r="G31" s="193"/>
      <c r="H31" s="193"/>
      <c r="I31" s="193"/>
      <c r="J31" s="193"/>
      <c r="K31" s="193"/>
      <c r="L31" s="193"/>
      <c r="M31" s="193"/>
    </row>
    <row r="32" spans="1:21" ht="13" x14ac:dyDescent="0.3">
      <c r="A32" s="161" t="s">
        <v>78</v>
      </c>
      <c r="B32" s="162"/>
      <c r="C32" s="162"/>
      <c r="D32" s="162"/>
      <c r="E32" s="162"/>
      <c r="F32" s="162"/>
      <c r="G32" s="162"/>
      <c r="H32" s="162"/>
      <c r="I32" s="62"/>
      <c r="J32" s="62"/>
      <c r="K32" s="62"/>
      <c r="L32" s="63"/>
      <c r="M32" s="63"/>
    </row>
    <row r="33" spans="1:12" ht="25.15" customHeight="1" x14ac:dyDescent="0.3">
      <c r="A33" s="1"/>
      <c r="B33" s="65" t="s">
        <v>77</v>
      </c>
      <c r="C33" s="68"/>
      <c r="D33" s="69"/>
      <c r="E33" s="69"/>
      <c r="F33" s="69"/>
      <c r="G33" s="69"/>
      <c r="H33" s="69"/>
      <c r="I33" s="70"/>
      <c r="J33" s="163" t="s">
        <v>60</v>
      </c>
      <c r="K33" s="208" t="s">
        <v>61</v>
      </c>
    </row>
    <row r="34" spans="1:12" ht="34.15" customHeight="1" x14ac:dyDescent="0.3">
      <c r="A34" s="44"/>
      <c r="B34" s="44" t="s">
        <v>70</v>
      </c>
      <c r="C34" s="44" t="s">
        <v>71</v>
      </c>
      <c r="D34" s="44" t="s">
        <v>72</v>
      </c>
      <c r="E34" s="44" t="s">
        <v>73</v>
      </c>
      <c r="F34" s="44" t="s">
        <v>74</v>
      </c>
      <c r="G34" s="44" t="s">
        <v>75</v>
      </c>
      <c r="H34" s="44" t="s">
        <v>76</v>
      </c>
      <c r="I34" s="44" t="s">
        <v>14</v>
      </c>
      <c r="J34" s="164"/>
      <c r="K34" s="208"/>
    </row>
    <row r="35" spans="1:12" ht="12" customHeight="1" x14ac:dyDescent="0.3">
      <c r="A35" s="58" t="s">
        <v>107</v>
      </c>
      <c r="B35" s="60"/>
      <c r="C35" s="60"/>
      <c r="D35" s="60"/>
      <c r="E35" s="60"/>
      <c r="F35" s="60"/>
      <c r="G35" s="60"/>
      <c r="H35" s="60"/>
      <c r="I35" s="60"/>
      <c r="J35" s="39">
        <f>SUM(B35:I35)</f>
        <v>0</v>
      </c>
      <c r="K35" s="39">
        <f>SUM(B35*150, C35*125, D35*100, E35*75, F35*50, G35*25, H35*0, I35*0)</f>
        <v>0</v>
      </c>
      <c r="L35" s="66"/>
    </row>
    <row r="36" spans="1:12" ht="12" customHeight="1" x14ac:dyDescent="0.3">
      <c r="A36" s="131" t="s">
        <v>78</v>
      </c>
      <c r="B36" s="132"/>
      <c r="C36" s="132"/>
      <c r="D36" s="132"/>
      <c r="E36" s="132"/>
      <c r="F36" s="132"/>
      <c r="G36" s="132"/>
      <c r="H36" s="132"/>
      <c r="I36" s="132"/>
      <c r="J36" s="133"/>
      <c r="K36" s="81">
        <f>IF(J35&gt;=10, ROUND(K35/J35,1),0)</f>
        <v>0</v>
      </c>
      <c r="L36" s="67"/>
    </row>
    <row r="37" spans="1:12" hidden="1" x14ac:dyDescent="0.3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</row>
    <row r="39" spans="1:12" ht="13" x14ac:dyDescent="0.3">
      <c r="A39" s="161" t="s">
        <v>66</v>
      </c>
      <c r="B39" s="162"/>
      <c r="C39" s="162"/>
      <c r="D39" s="162"/>
      <c r="E39" s="162"/>
      <c r="F39" s="162"/>
      <c r="G39" s="162"/>
      <c r="H39" s="162"/>
    </row>
    <row r="40" spans="1:12" ht="36" x14ac:dyDescent="0.3">
      <c r="A40" s="44" t="s">
        <v>0</v>
      </c>
      <c r="B40" s="44" t="s">
        <v>58</v>
      </c>
      <c r="C40" s="44" t="s">
        <v>59</v>
      </c>
      <c r="D40" s="44" t="s">
        <v>62</v>
      </c>
      <c r="E40" s="44" t="s">
        <v>56</v>
      </c>
      <c r="F40" s="29" t="s">
        <v>57</v>
      </c>
      <c r="G40" s="44" t="s">
        <v>60</v>
      </c>
      <c r="H40" s="44" t="s">
        <v>61</v>
      </c>
    </row>
    <row r="41" spans="1:12" x14ac:dyDescent="0.3">
      <c r="A41" s="53" t="s">
        <v>161</v>
      </c>
      <c r="B41" s="31"/>
      <c r="C41" s="31"/>
      <c r="D41" s="31"/>
      <c r="E41" s="31"/>
      <c r="F41" s="31"/>
      <c r="G41" s="39">
        <f t="shared" ref="G41:G48" si="1">SUM(B41:F41)</f>
        <v>0</v>
      </c>
      <c r="H41" s="39">
        <f t="shared" ref="H41:H48" si="2">B41*150 + C41*115+D41*85+E41*25+F41*0</f>
        <v>0</v>
      </c>
    </row>
    <row r="42" spans="1:12" x14ac:dyDescent="0.3">
      <c r="A42" s="53" t="s">
        <v>162</v>
      </c>
      <c r="B42" s="31"/>
      <c r="C42" s="31"/>
      <c r="D42" s="31"/>
      <c r="E42" s="31"/>
      <c r="F42" s="31"/>
      <c r="G42" s="39">
        <f t="shared" si="1"/>
        <v>0</v>
      </c>
      <c r="H42" s="39">
        <f t="shared" si="2"/>
        <v>0</v>
      </c>
    </row>
    <row r="43" spans="1:12" x14ac:dyDescent="0.3">
      <c r="A43" s="53" t="s">
        <v>163</v>
      </c>
      <c r="B43" s="31"/>
      <c r="C43" s="31"/>
      <c r="D43" s="31"/>
      <c r="E43" s="31"/>
      <c r="F43" s="31"/>
      <c r="G43" s="39">
        <f t="shared" si="1"/>
        <v>0</v>
      </c>
      <c r="H43" s="39">
        <f t="shared" si="2"/>
        <v>0</v>
      </c>
    </row>
    <row r="44" spans="1:12" ht="12.5" thickBot="1" x14ac:dyDescent="0.35">
      <c r="A44" s="48" t="s">
        <v>164</v>
      </c>
      <c r="B44" s="56"/>
      <c r="C44" s="56"/>
      <c r="D44" s="56"/>
      <c r="E44" s="56"/>
      <c r="F44" s="56"/>
      <c r="G44" s="50">
        <f t="shared" si="1"/>
        <v>0</v>
      </c>
      <c r="H44" s="50">
        <f t="shared" si="2"/>
        <v>0</v>
      </c>
    </row>
    <row r="45" spans="1:12" ht="12.5" thickTop="1" x14ac:dyDescent="0.3">
      <c r="A45" s="55" t="s">
        <v>170</v>
      </c>
      <c r="B45" s="57"/>
      <c r="C45" s="57"/>
      <c r="D45" s="57"/>
      <c r="E45" s="57"/>
      <c r="F45" s="57"/>
      <c r="G45" s="54">
        <f t="shared" si="1"/>
        <v>0</v>
      </c>
      <c r="H45" s="54">
        <f t="shared" si="2"/>
        <v>0</v>
      </c>
    </row>
    <row r="46" spans="1:12" x14ac:dyDescent="0.3">
      <c r="A46" s="53" t="s">
        <v>171</v>
      </c>
      <c r="B46" s="31"/>
      <c r="C46" s="31"/>
      <c r="D46" s="31"/>
      <c r="E46" s="31"/>
      <c r="F46" s="31"/>
      <c r="G46" s="39">
        <f t="shared" si="1"/>
        <v>0</v>
      </c>
      <c r="H46" s="39">
        <f t="shared" si="2"/>
        <v>0</v>
      </c>
    </row>
    <row r="47" spans="1:12" x14ac:dyDescent="0.3">
      <c r="A47" s="53" t="s">
        <v>172</v>
      </c>
      <c r="B47" s="31"/>
      <c r="C47" s="31"/>
      <c r="D47" s="31"/>
      <c r="E47" s="31"/>
      <c r="F47" s="31"/>
      <c r="G47" s="39">
        <f t="shared" si="1"/>
        <v>0</v>
      </c>
      <c r="H47" s="39">
        <f t="shared" si="2"/>
        <v>0</v>
      </c>
    </row>
    <row r="48" spans="1:12" x14ac:dyDescent="0.3">
      <c r="A48" s="53" t="s">
        <v>173</v>
      </c>
      <c r="B48" s="31"/>
      <c r="C48" s="31"/>
      <c r="D48" s="31"/>
      <c r="E48" s="31"/>
      <c r="F48" s="31"/>
      <c r="G48" s="39">
        <f t="shared" si="1"/>
        <v>0</v>
      </c>
      <c r="H48" s="39">
        <f t="shared" si="2"/>
        <v>0</v>
      </c>
    </row>
    <row r="49" spans="1:8" x14ac:dyDescent="0.3">
      <c r="A49" s="131" t="s">
        <v>69</v>
      </c>
      <c r="B49" s="132"/>
      <c r="C49" s="132"/>
      <c r="D49" s="132"/>
      <c r="E49" s="132"/>
      <c r="F49" s="133"/>
      <c r="G49" s="71">
        <f>SUM(G41:G48)</f>
        <v>0</v>
      </c>
      <c r="H49" s="71">
        <f>SUM(H41:H48)</f>
        <v>0</v>
      </c>
    </row>
    <row r="50" spans="1:8" x14ac:dyDescent="0.3">
      <c r="A50" s="131" t="s">
        <v>105</v>
      </c>
      <c r="B50" s="132"/>
      <c r="C50" s="132"/>
      <c r="D50" s="132"/>
      <c r="E50" s="132"/>
      <c r="F50" s="132"/>
      <c r="G50" s="133"/>
      <c r="H50" s="81">
        <f>IF(G49&gt;0, ROUND(H49/G49,1), 0)</f>
        <v>0</v>
      </c>
    </row>
    <row r="51" spans="1:8" x14ac:dyDescent="0.3">
      <c r="A51" s="118" t="s">
        <v>106</v>
      </c>
      <c r="B51" s="118"/>
      <c r="C51" s="118"/>
      <c r="D51" s="118"/>
      <c r="E51" s="118"/>
      <c r="F51" s="118"/>
      <c r="G51" s="118"/>
      <c r="H51" s="118"/>
    </row>
    <row r="52" spans="1:8" x14ac:dyDescent="0.3">
      <c r="A52" s="119" t="s">
        <v>64</v>
      </c>
      <c r="B52" s="119"/>
      <c r="C52" s="119"/>
      <c r="D52" s="119"/>
      <c r="E52" s="119"/>
      <c r="F52" s="119"/>
      <c r="G52" s="119"/>
      <c r="H52" s="119"/>
    </row>
    <row r="54" spans="1:8" ht="13" x14ac:dyDescent="0.3">
      <c r="A54" s="125" t="s">
        <v>82</v>
      </c>
      <c r="B54" s="125"/>
      <c r="C54" s="125"/>
      <c r="D54" s="125"/>
      <c r="E54" s="125"/>
      <c r="F54" s="125"/>
      <c r="G54" s="125"/>
      <c r="H54" s="125"/>
    </row>
    <row r="55" spans="1:8" x14ac:dyDescent="0.3">
      <c r="A55" s="145" t="s">
        <v>18</v>
      </c>
      <c r="B55" s="145"/>
      <c r="C55" s="145"/>
      <c r="D55" s="145"/>
      <c r="E55" s="129"/>
      <c r="F55" s="59" t="s">
        <v>27</v>
      </c>
      <c r="G55" s="59" t="s">
        <v>103</v>
      </c>
      <c r="H55" s="59" t="s">
        <v>17</v>
      </c>
    </row>
    <row r="56" spans="1:8" ht="14.5" customHeight="1" x14ac:dyDescent="0.3">
      <c r="A56" s="209" t="s">
        <v>19</v>
      </c>
      <c r="B56" s="210"/>
      <c r="C56" s="210"/>
      <c r="D56" s="210"/>
      <c r="E56" s="211"/>
      <c r="F56" s="145">
        <v>160</v>
      </c>
      <c r="G56" s="212"/>
      <c r="H56" s="149">
        <f>F56*G56</f>
        <v>0</v>
      </c>
    </row>
    <row r="57" spans="1:8" ht="15" customHeight="1" x14ac:dyDescent="0.3">
      <c r="A57" s="152" t="s">
        <v>31</v>
      </c>
      <c r="B57" s="153"/>
      <c r="C57" s="153"/>
      <c r="D57" s="153"/>
      <c r="E57" s="154"/>
      <c r="F57" s="145"/>
      <c r="G57" s="212"/>
      <c r="H57" s="150"/>
    </row>
    <row r="58" spans="1:8" ht="18" customHeight="1" x14ac:dyDescent="0.3">
      <c r="A58" s="169" t="s">
        <v>32</v>
      </c>
      <c r="B58" s="170"/>
      <c r="C58" s="170"/>
      <c r="D58" s="170"/>
      <c r="E58" s="171"/>
      <c r="F58" s="145"/>
      <c r="G58" s="212"/>
      <c r="H58" s="151"/>
    </row>
    <row r="59" spans="1:8" ht="15" customHeight="1" x14ac:dyDescent="0.3">
      <c r="A59" s="142" t="s">
        <v>19</v>
      </c>
      <c r="B59" s="143"/>
      <c r="C59" s="143"/>
      <c r="D59" s="143"/>
      <c r="E59" s="144"/>
      <c r="F59" s="145">
        <v>150</v>
      </c>
      <c r="G59" s="146"/>
      <c r="H59" s="149">
        <f>F59*G59</f>
        <v>0</v>
      </c>
    </row>
    <row r="60" spans="1:8" ht="16.899999999999999" customHeight="1" x14ac:dyDescent="0.3">
      <c r="A60" s="152" t="s">
        <v>20</v>
      </c>
      <c r="B60" s="153"/>
      <c r="C60" s="153"/>
      <c r="D60" s="153"/>
      <c r="E60" s="154"/>
      <c r="F60" s="145"/>
      <c r="G60" s="147"/>
      <c r="H60" s="150"/>
    </row>
    <row r="61" spans="1:8" ht="14.5" customHeight="1" x14ac:dyDescent="0.3">
      <c r="A61" s="152" t="s">
        <v>21</v>
      </c>
      <c r="B61" s="153"/>
      <c r="C61" s="153"/>
      <c r="D61" s="153"/>
      <c r="E61" s="154"/>
      <c r="F61" s="145"/>
      <c r="G61" s="148"/>
      <c r="H61" s="151"/>
    </row>
    <row r="62" spans="1:8" ht="15" customHeight="1" x14ac:dyDescent="0.3">
      <c r="A62" s="142" t="s">
        <v>19</v>
      </c>
      <c r="B62" s="143"/>
      <c r="C62" s="143"/>
      <c r="D62" s="143"/>
      <c r="E62" s="144"/>
      <c r="F62" s="174">
        <v>115</v>
      </c>
      <c r="G62" s="146"/>
      <c r="H62" s="149">
        <f>F62*G62</f>
        <v>0</v>
      </c>
    </row>
    <row r="63" spans="1:8" ht="24.65" customHeight="1" x14ac:dyDescent="0.3">
      <c r="A63" s="155" t="s">
        <v>28</v>
      </c>
      <c r="B63" s="156"/>
      <c r="C63" s="156"/>
      <c r="D63" s="156"/>
      <c r="E63" s="157"/>
      <c r="F63" s="175"/>
      <c r="G63" s="147"/>
      <c r="H63" s="150"/>
    </row>
    <row r="64" spans="1:8" ht="14.5" customHeight="1" x14ac:dyDescent="0.3">
      <c r="A64" s="158" t="s">
        <v>22</v>
      </c>
      <c r="B64" s="159"/>
      <c r="C64" s="159"/>
      <c r="D64" s="159"/>
      <c r="E64" s="160"/>
      <c r="F64" s="175"/>
      <c r="G64" s="147"/>
      <c r="H64" s="150"/>
    </row>
    <row r="65" spans="1:12" ht="15" customHeight="1" x14ac:dyDescent="0.3">
      <c r="A65" s="194" t="s">
        <v>29</v>
      </c>
      <c r="B65" s="195"/>
      <c r="C65" s="195"/>
      <c r="D65" s="195"/>
      <c r="E65" s="196"/>
      <c r="F65" s="176"/>
      <c r="G65" s="148"/>
      <c r="H65" s="151"/>
    </row>
    <row r="66" spans="1:12" ht="18.649999999999999" customHeight="1" x14ac:dyDescent="0.3">
      <c r="A66" s="190" t="s">
        <v>19</v>
      </c>
      <c r="B66" s="191"/>
      <c r="C66" s="191"/>
      <c r="D66" s="191"/>
      <c r="E66" s="192"/>
      <c r="F66" s="145">
        <v>110</v>
      </c>
      <c r="G66" s="146"/>
      <c r="H66" s="149">
        <f>F66*G66</f>
        <v>0</v>
      </c>
    </row>
    <row r="67" spans="1:12" ht="24.65" customHeight="1" x14ac:dyDescent="0.3">
      <c r="A67" s="155" t="s">
        <v>30</v>
      </c>
      <c r="B67" s="156"/>
      <c r="C67" s="156"/>
      <c r="D67" s="156"/>
      <c r="E67" s="157"/>
      <c r="F67" s="145"/>
      <c r="G67" s="147"/>
      <c r="H67" s="150"/>
    </row>
    <row r="68" spans="1:12" ht="15.65" customHeight="1" x14ac:dyDescent="0.3">
      <c r="A68" s="155" t="s">
        <v>23</v>
      </c>
      <c r="B68" s="156"/>
      <c r="C68" s="156"/>
      <c r="D68" s="156"/>
      <c r="E68" s="157"/>
      <c r="F68" s="145"/>
      <c r="G68" s="147"/>
      <c r="H68" s="150"/>
    </row>
    <row r="69" spans="1:12" ht="15" customHeight="1" x14ac:dyDescent="0.3">
      <c r="A69" s="180" t="s">
        <v>29</v>
      </c>
      <c r="B69" s="181"/>
      <c r="C69" s="181"/>
      <c r="D69" s="181"/>
      <c r="E69" s="182"/>
      <c r="F69" s="145"/>
      <c r="G69" s="148"/>
      <c r="H69" s="151"/>
    </row>
    <row r="70" spans="1:12" ht="30" customHeight="1" x14ac:dyDescent="0.3">
      <c r="A70" s="177" t="s">
        <v>24</v>
      </c>
      <c r="B70" s="178"/>
      <c r="C70" s="178"/>
      <c r="D70" s="178"/>
      <c r="E70" s="179"/>
      <c r="F70" s="58">
        <v>100</v>
      </c>
      <c r="G70" s="60"/>
      <c r="H70" s="39">
        <f>F70*G70</f>
        <v>0</v>
      </c>
    </row>
    <row r="71" spans="1:12" ht="18" customHeight="1" x14ac:dyDescent="0.3">
      <c r="A71" s="188" t="s">
        <v>33</v>
      </c>
      <c r="B71" s="188"/>
      <c r="C71" s="188"/>
      <c r="D71" s="188"/>
      <c r="E71" s="188"/>
      <c r="F71" s="30">
        <v>40</v>
      </c>
      <c r="G71" s="32"/>
      <c r="H71" s="39">
        <f>F71*G71</f>
        <v>0</v>
      </c>
    </row>
    <row r="72" spans="1:12" ht="15" customHeight="1" x14ac:dyDescent="0.3">
      <c r="A72" s="189" t="s">
        <v>25</v>
      </c>
      <c r="B72" s="189"/>
      <c r="C72" s="189"/>
      <c r="D72" s="189"/>
      <c r="E72" s="189"/>
      <c r="F72" s="58">
        <v>25</v>
      </c>
      <c r="G72" s="60"/>
      <c r="H72" s="39">
        <f>F72*G72</f>
        <v>0</v>
      </c>
    </row>
    <row r="73" spans="1:12" ht="15" customHeight="1" x14ac:dyDescent="0.3">
      <c r="A73" s="189" t="s">
        <v>26</v>
      </c>
      <c r="B73" s="189"/>
      <c r="C73" s="189"/>
      <c r="D73" s="189"/>
      <c r="E73" s="189"/>
      <c r="F73" s="58">
        <v>0</v>
      </c>
      <c r="G73" s="60"/>
      <c r="H73" s="39">
        <f>F73*G73</f>
        <v>0</v>
      </c>
    </row>
    <row r="74" spans="1:12" ht="15.65" customHeight="1" x14ac:dyDescent="0.3">
      <c r="A74" s="139" t="s">
        <v>80</v>
      </c>
      <c r="B74" s="140"/>
      <c r="C74" s="140"/>
      <c r="D74" s="140"/>
      <c r="E74" s="140"/>
      <c r="F74" s="141"/>
      <c r="G74" s="42">
        <f>SUM(G56:G73)</f>
        <v>0</v>
      </c>
      <c r="H74" s="61">
        <f>SUM(H56:H73)</f>
        <v>0</v>
      </c>
    </row>
    <row r="75" spans="1:12" ht="14.5" customHeight="1" x14ac:dyDescent="0.3">
      <c r="A75" s="139" t="s">
        <v>81</v>
      </c>
      <c r="B75" s="140"/>
      <c r="C75" s="140"/>
      <c r="D75" s="140"/>
      <c r="E75" s="140"/>
      <c r="F75" s="140"/>
      <c r="G75" s="141"/>
      <c r="H75" s="81">
        <f>IF(G74&gt;=10,ROUND(H74/G74,1), 0)</f>
        <v>0</v>
      </c>
    </row>
    <row r="76" spans="1:12" x14ac:dyDescent="0.3">
      <c r="A76" s="187"/>
      <c r="B76" s="187"/>
      <c r="C76" s="187"/>
      <c r="D76" s="187"/>
      <c r="E76" s="187"/>
      <c r="F76" s="187"/>
      <c r="G76" s="187"/>
      <c r="H76" s="187"/>
    </row>
    <row r="77" spans="1:12" ht="21.65" customHeight="1" x14ac:dyDescent="0.3">
      <c r="A77" s="200" t="s">
        <v>16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2"/>
    </row>
    <row r="78" spans="1:12" ht="25.15" customHeight="1" x14ac:dyDescent="0.3">
      <c r="A78" s="1"/>
      <c r="B78" s="203" t="s">
        <v>4</v>
      </c>
      <c r="C78" s="204"/>
      <c r="D78" s="204"/>
      <c r="E78" s="204"/>
      <c r="F78" s="204"/>
      <c r="G78" s="204"/>
      <c r="H78" s="204"/>
      <c r="I78" s="204"/>
      <c r="J78" s="205"/>
      <c r="K78" s="206" t="s">
        <v>5</v>
      </c>
      <c r="L78" s="207" t="s">
        <v>6</v>
      </c>
    </row>
    <row r="79" spans="1:12" s="21" customFormat="1" ht="34.15" customHeight="1" x14ac:dyDescent="0.3">
      <c r="A79" s="2"/>
      <c r="B79" s="3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183" t="s">
        <v>104</v>
      </c>
      <c r="J79" s="184"/>
      <c r="K79" s="206"/>
      <c r="L79" s="207"/>
    </row>
    <row r="80" spans="1:12" s="21" customFormat="1" x14ac:dyDescent="0.3">
      <c r="A80" s="3" t="s">
        <v>63</v>
      </c>
      <c r="B80" s="37"/>
      <c r="C80" s="37"/>
      <c r="D80" s="37"/>
      <c r="E80" s="37"/>
      <c r="F80" s="37"/>
      <c r="G80" s="37"/>
      <c r="H80" s="37"/>
      <c r="I80" s="185"/>
      <c r="J80" s="186"/>
      <c r="K80" s="41">
        <f>SUM(B80:J80)</f>
        <v>0</v>
      </c>
      <c r="L80" s="41">
        <f>SUM(B80*150,C80*125,D80*100,E80*75,F80*50,G80*25,H80*0,I80*0,J80*0)</f>
        <v>0</v>
      </c>
    </row>
    <row r="81" spans="1:12" x14ac:dyDescent="0.3">
      <c r="A81" s="197" t="s">
        <v>15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9"/>
      <c r="L81" s="82">
        <f>IF(K80&gt;=10, ROUND(L80/K80,1),0)</f>
        <v>0</v>
      </c>
    </row>
    <row r="82" spans="1:12" x14ac:dyDescent="0.3">
      <c r="A82" s="138" t="s">
        <v>165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</row>
    <row r="84" spans="1:12" ht="13" x14ac:dyDescent="0.3">
      <c r="A84" s="121" t="s">
        <v>131</v>
      </c>
      <c r="B84" s="122"/>
      <c r="C84" s="122"/>
    </row>
    <row r="85" spans="1:12" ht="24" x14ac:dyDescent="0.3">
      <c r="A85" s="104"/>
      <c r="B85" s="104" t="s">
        <v>113</v>
      </c>
      <c r="C85" s="106" t="s">
        <v>132</v>
      </c>
    </row>
    <row r="86" spans="1:12" x14ac:dyDescent="0.3">
      <c r="A86" s="106" t="s">
        <v>40</v>
      </c>
      <c r="B86" s="83">
        <f>B92</f>
        <v>0</v>
      </c>
      <c r="C86" s="83">
        <f>SUM(B86*B87)</f>
        <v>0</v>
      </c>
    </row>
    <row r="87" spans="1:12" ht="14.5" x14ac:dyDescent="0.3">
      <c r="A87" s="106" t="s">
        <v>2</v>
      </c>
      <c r="B87" s="83">
        <v>1</v>
      </c>
      <c r="C87" s="85"/>
    </row>
    <row r="88" spans="1:12" ht="14.5" x14ac:dyDescent="0.35">
      <c r="A88" s="172" t="s">
        <v>169</v>
      </c>
      <c r="B88" s="173"/>
      <c r="C88" s="173"/>
      <c r="D88" s="173"/>
      <c r="E88" s="173"/>
      <c r="F88" s="173"/>
      <c r="G88" s="173"/>
      <c r="H88" s="173"/>
    </row>
    <row r="90" spans="1:12" ht="13" x14ac:dyDescent="0.3">
      <c r="A90" s="121" t="s">
        <v>133</v>
      </c>
      <c r="B90" s="122"/>
    </row>
    <row r="91" spans="1:12" ht="24" hidden="1" x14ac:dyDescent="0.3">
      <c r="A91" s="104" t="s">
        <v>137</v>
      </c>
      <c r="B91" s="94" t="b">
        <v>0</v>
      </c>
    </row>
    <row r="92" spans="1:12" x14ac:dyDescent="0.3">
      <c r="A92" s="100" t="s">
        <v>134</v>
      </c>
      <c r="B92" s="83">
        <f>IF(B91=TRUE, 150, 0)</f>
        <v>0</v>
      </c>
    </row>
    <row r="93" spans="1:12" x14ac:dyDescent="0.3">
      <c r="A93" s="119" t="s">
        <v>138</v>
      </c>
      <c r="B93" s="119"/>
      <c r="C93" s="119"/>
      <c r="D93" s="119"/>
      <c r="E93" s="119"/>
      <c r="F93" s="119"/>
      <c r="G93" s="119"/>
    </row>
  </sheetData>
  <sheetProtection algorithmName="SHA-512" hashValue="G/F1PFZDovJM1zksnZiMJgbYTMFDVHVHWS3pjMF31Dm4zA33TjNH6F8ABtR8te0LGhyupkXfwR0NqvdW4ihV8Q==" saltValue="/QKL4g/purFrk13aqGkHIw==" spinCount="100000" sheet="1" objects="1" scenarios="1"/>
  <mergeCells count="105">
    <mergeCell ref="D2:E2"/>
    <mergeCell ref="D3:E3"/>
    <mergeCell ref="D4:E4"/>
    <mergeCell ref="D5:E5"/>
    <mergeCell ref="B14:E14"/>
    <mergeCell ref="F31:M31"/>
    <mergeCell ref="A37:K37"/>
    <mergeCell ref="A65:E65"/>
    <mergeCell ref="A81:K81"/>
    <mergeCell ref="A77:L77"/>
    <mergeCell ref="B78:J78"/>
    <mergeCell ref="K78:K79"/>
    <mergeCell ref="L78:L79"/>
    <mergeCell ref="A39:H39"/>
    <mergeCell ref="A49:F49"/>
    <mergeCell ref="A50:G50"/>
    <mergeCell ref="K33:K34"/>
    <mergeCell ref="A36:J36"/>
    <mergeCell ref="A54:H54"/>
    <mergeCell ref="A55:E55"/>
    <mergeCell ref="A56:E56"/>
    <mergeCell ref="F56:F58"/>
    <mergeCell ref="G56:G58"/>
    <mergeCell ref="H56:H58"/>
    <mergeCell ref="A57:E57"/>
    <mergeCell ref="A58:E58"/>
    <mergeCell ref="D1:K1"/>
    <mergeCell ref="A84:C84"/>
    <mergeCell ref="A88:H88"/>
    <mergeCell ref="A90:B90"/>
    <mergeCell ref="A62:E62"/>
    <mergeCell ref="F62:F65"/>
    <mergeCell ref="G62:G65"/>
    <mergeCell ref="A70:E70"/>
    <mergeCell ref="A68:E68"/>
    <mergeCell ref="A69:E69"/>
    <mergeCell ref="I79:J79"/>
    <mergeCell ref="I80:J80"/>
    <mergeCell ref="A76:H76"/>
    <mergeCell ref="A71:E71"/>
    <mergeCell ref="A75:G75"/>
    <mergeCell ref="A72:E72"/>
    <mergeCell ref="A73:E73"/>
    <mergeCell ref="A66:E66"/>
    <mergeCell ref="F66:F69"/>
    <mergeCell ref="G66:G69"/>
    <mergeCell ref="H66:H69"/>
    <mergeCell ref="A67:E67"/>
    <mergeCell ref="J33:J34"/>
    <mergeCell ref="N14:Q14"/>
    <mergeCell ref="B15:E15"/>
    <mergeCell ref="M8:S8"/>
    <mergeCell ref="M9:N9"/>
    <mergeCell ref="M10:N10"/>
    <mergeCell ref="M11:N11"/>
    <mergeCell ref="M12:N12"/>
    <mergeCell ref="B12:C12"/>
    <mergeCell ref="B8:I8"/>
    <mergeCell ref="B9:C9"/>
    <mergeCell ref="B10:C10"/>
    <mergeCell ref="B11:C11"/>
    <mergeCell ref="N15:Q15"/>
    <mergeCell ref="B22:E22"/>
    <mergeCell ref="B23:E23"/>
    <mergeCell ref="B24:E24"/>
    <mergeCell ref="B25:E25"/>
    <mergeCell ref="B26:E26"/>
    <mergeCell ref="N22:Q22"/>
    <mergeCell ref="N23:Q23"/>
    <mergeCell ref="B16:E16"/>
    <mergeCell ref="B17:E17"/>
    <mergeCell ref="B19:E19"/>
    <mergeCell ref="B20:E20"/>
    <mergeCell ref="B21:E21"/>
    <mergeCell ref="N16:Q16"/>
    <mergeCell ref="N17:Q17"/>
    <mergeCell ref="N18:Q18"/>
    <mergeCell ref="N19:Q19"/>
    <mergeCell ref="N20:Q20"/>
    <mergeCell ref="N21:Q21"/>
    <mergeCell ref="B18:E18"/>
    <mergeCell ref="N24:Q24"/>
    <mergeCell ref="N25:Q25"/>
    <mergeCell ref="N26:Q26"/>
    <mergeCell ref="N27:Q27"/>
    <mergeCell ref="N28:Q28"/>
    <mergeCell ref="N29:Q29"/>
    <mergeCell ref="A93:G93"/>
    <mergeCell ref="A51:H51"/>
    <mergeCell ref="A52:H52"/>
    <mergeCell ref="A82:L82"/>
    <mergeCell ref="B27:E27"/>
    <mergeCell ref="B28:E28"/>
    <mergeCell ref="B29:E29"/>
    <mergeCell ref="A74:F74"/>
    <mergeCell ref="A59:E59"/>
    <mergeCell ref="F59:F61"/>
    <mergeCell ref="G59:G61"/>
    <mergeCell ref="H59:H61"/>
    <mergeCell ref="A60:E60"/>
    <mergeCell ref="A61:E61"/>
    <mergeCell ref="H62:H65"/>
    <mergeCell ref="A63:E63"/>
    <mergeCell ref="A64:E64"/>
    <mergeCell ref="A32:H3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622300</xdr:colOff>
                    <xdr:row>89</xdr:row>
                    <xdr:rowOff>0</xdr:rowOff>
                  </from>
                  <to>
                    <xdr:col>3</xdr:col>
                    <xdr:colOff>628650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G17" sqref="G17"/>
    </sheetView>
  </sheetViews>
  <sheetFormatPr defaultColWidth="8.81640625" defaultRowHeight="13" x14ac:dyDescent="0.3"/>
  <cols>
    <col min="1" max="1" width="21.1796875" style="33" customWidth="1"/>
    <col min="2" max="8" width="12.81640625" style="33" customWidth="1"/>
    <col min="9" max="9" width="26.1796875" style="33" customWidth="1"/>
    <col min="10" max="16384" width="8.81640625" style="33"/>
  </cols>
  <sheetData>
    <row r="1" spans="1:9" ht="23.5" customHeight="1" x14ac:dyDescent="0.3">
      <c r="D1" s="213" t="s">
        <v>41</v>
      </c>
      <c r="E1" s="213"/>
      <c r="F1" s="213"/>
      <c r="G1" s="213"/>
      <c r="H1" s="213"/>
      <c r="I1" s="73"/>
    </row>
    <row r="2" spans="1:9" ht="26.5" customHeight="1" x14ac:dyDescent="0.3">
      <c r="D2" s="217" t="s">
        <v>43</v>
      </c>
      <c r="E2" s="218"/>
      <c r="F2" s="215" t="s">
        <v>45</v>
      </c>
      <c r="G2" s="215" t="s">
        <v>42</v>
      </c>
      <c r="H2" s="215" t="s">
        <v>46</v>
      </c>
    </row>
    <row r="3" spans="1:9" ht="24" customHeight="1" x14ac:dyDescent="0.3">
      <c r="D3" s="102" t="s">
        <v>38</v>
      </c>
      <c r="E3" s="103" t="s">
        <v>44</v>
      </c>
      <c r="F3" s="216"/>
      <c r="G3" s="216"/>
      <c r="H3" s="216"/>
    </row>
    <row r="4" spans="1:9" ht="15" customHeight="1" x14ac:dyDescent="0.3">
      <c r="D4" s="36"/>
      <c r="E4" s="77"/>
      <c r="F4" s="34" t="str">
        <f>IF(D4&gt;0, 'K8'!H3, " ")</f>
        <v xml:space="preserve"> </v>
      </c>
      <c r="G4" s="34" t="str">
        <f>IF(E4&gt;0, HS!K3, " ")</f>
        <v xml:space="preserve"> </v>
      </c>
      <c r="H4" s="34" t="str">
        <f>IF(AND(D4&gt;0,E4&gt;0), ROUND((F4*D4+G4*E4)/(D4+E4), 1), " ")</f>
        <v xml:space="preserve"> </v>
      </c>
    </row>
    <row r="6" spans="1:9" ht="19.149999999999999" customHeight="1" x14ac:dyDescent="0.3">
      <c r="A6" s="219" t="s">
        <v>41</v>
      </c>
      <c r="B6" s="219"/>
      <c r="C6" s="219"/>
      <c r="D6" s="219"/>
      <c r="E6" s="219"/>
      <c r="F6" s="219"/>
      <c r="G6" s="219"/>
      <c r="H6" s="219"/>
    </row>
    <row r="7" spans="1:9" ht="36" x14ac:dyDescent="0.3">
      <c r="A7" s="101"/>
      <c r="B7" s="101" t="s">
        <v>65</v>
      </c>
      <c r="C7" s="101" t="s">
        <v>3</v>
      </c>
      <c r="D7" s="101" t="s">
        <v>79</v>
      </c>
      <c r="E7" s="101" t="s">
        <v>66</v>
      </c>
      <c r="F7" s="101" t="s">
        <v>82</v>
      </c>
      <c r="G7" s="101" t="s">
        <v>109</v>
      </c>
      <c r="H7" s="101" t="s">
        <v>136</v>
      </c>
    </row>
    <row r="8" spans="1:9" x14ac:dyDescent="0.3">
      <c r="A8" s="100" t="s">
        <v>40</v>
      </c>
      <c r="B8" s="35" t="str">
        <f>IF(D4&gt;0, 'K8'!F3, " ")</f>
        <v xml:space="preserve"> </v>
      </c>
      <c r="C8" s="35" t="str">
        <f>IF(E4&gt;0, HS!H3, " ")</f>
        <v xml:space="preserve"> </v>
      </c>
      <c r="D8" s="35" t="str">
        <f>IF(E4&gt;0, HS!G3, " ")</f>
        <v xml:space="preserve"> </v>
      </c>
      <c r="E8" s="35" t="str">
        <f>IF(E4&gt;0, HS!F3, " ")</f>
        <v xml:space="preserve"> </v>
      </c>
      <c r="F8" s="35" t="str">
        <f>IF(E4&gt;0, HS!I3, " ")</f>
        <v xml:space="preserve"> </v>
      </c>
      <c r="G8" s="34" t="str">
        <f>IF(D4&gt;0, 'K8'!G3, " ")</f>
        <v xml:space="preserve"> </v>
      </c>
      <c r="H8" s="34" t="str">
        <f>IF(E4&gt;0, HS!J3, " ")</f>
        <v xml:space="preserve"> </v>
      </c>
    </row>
    <row r="9" spans="1:9" x14ac:dyDescent="0.3">
      <c r="A9" s="100" t="s">
        <v>156</v>
      </c>
      <c r="B9" s="35" t="str">
        <f>IF(D4&gt;0, 'K8'!F4, " ")</f>
        <v xml:space="preserve"> </v>
      </c>
      <c r="C9" s="35" t="str">
        <f>IF(E4&gt;0, HS!H4, " ")</f>
        <v xml:space="preserve"> </v>
      </c>
      <c r="D9" s="35" t="str">
        <f>IF(E4&gt;0, HS!G4, " ")</f>
        <v xml:space="preserve"> </v>
      </c>
      <c r="E9" s="35" t="str">
        <f>IF(E4&gt;0, HS!F4, " ")</f>
        <v xml:space="preserve"> </v>
      </c>
      <c r="F9" s="35" t="str">
        <f>IF(E4&gt;0, HS!I4, " ")</f>
        <v xml:space="preserve"> </v>
      </c>
      <c r="G9" s="34" t="str">
        <f>IF(D4&gt;0, 'K8'!G4, " ")</f>
        <v xml:space="preserve"> </v>
      </c>
      <c r="H9" s="34" t="str">
        <f>IF(E4&gt;0, HS!J4, " ")</f>
        <v xml:space="preserve"> </v>
      </c>
    </row>
    <row r="10" spans="1:9" x14ac:dyDescent="0.3">
      <c r="A10" s="100" t="s">
        <v>2</v>
      </c>
      <c r="B10" s="76" t="str">
        <f>IF(D4&gt;0, 'K8'!F5, " ")</f>
        <v xml:space="preserve"> </v>
      </c>
      <c r="C10" s="80" t="str">
        <f>IF(E4&gt;0, HS!H5, " ")</f>
        <v xml:space="preserve"> </v>
      </c>
      <c r="D10" s="80" t="str">
        <f>IF(E4&gt;0, HS!G5, " ")</f>
        <v xml:space="preserve"> </v>
      </c>
      <c r="E10" s="80" t="str">
        <f>IF(E4&gt;0, HS!F5, " ")</f>
        <v xml:space="preserve"> </v>
      </c>
      <c r="F10" s="80" t="str">
        <f>IF(E4&gt;0, HS!I5, " ")</f>
        <v xml:space="preserve"> </v>
      </c>
      <c r="G10" s="80" t="str">
        <f>IF(D4&gt;0, 'K8'!G5, " ")</f>
        <v xml:space="preserve"> </v>
      </c>
      <c r="H10" s="80" t="str">
        <f>IF(E4&gt;0, HS!J5, " ")</f>
        <v xml:space="preserve"> </v>
      </c>
    </row>
    <row r="11" spans="1:9" s="78" customFormat="1" x14ac:dyDescent="0.3">
      <c r="A11" s="214" t="s">
        <v>176</v>
      </c>
      <c r="B11" s="214"/>
      <c r="C11" s="214"/>
      <c r="D11" s="214"/>
      <c r="E11" s="214"/>
      <c r="F11" s="214"/>
      <c r="G11" s="214"/>
      <c r="H11" s="214"/>
      <c r="I11" s="214"/>
    </row>
  </sheetData>
  <sheetProtection algorithmName="SHA-512" hashValue="XMD/tB7zFN9QtDtmLkTcnVU9mwX7gKLKLmphpd/d2+rmYPGFeZ/U4jEZFX4lC31h/6ZvQKudhNPYjuf0QBYuoQ==" saltValue="B9J4q4cbyeDfBhSUo545YQ==" spinCount="100000" sheet="1" objects="1" scenarios="1"/>
  <mergeCells count="7">
    <mergeCell ref="D1:H1"/>
    <mergeCell ref="A11:I11"/>
    <mergeCell ref="F2:F3"/>
    <mergeCell ref="G2:G3"/>
    <mergeCell ref="H2:H3"/>
    <mergeCell ref="D2:E2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K8</vt:lpstr>
      <vt:lpstr>HS</vt:lpstr>
      <vt:lpstr>CB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Liu</dc:creator>
  <cp:lastModifiedBy>Jennifer Baird</cp:lastModifiedBy>
  <dcterms:created xsi:type="dcterms:W3CDTF">2017-05-19T19:28:15Z</dcterms:created>
  <dcterms:modified xsi:type="dcterms:W3CDTF">2022-10-11T16:39:19Z</dcterms:modified>
</cp:coreProperties>
</file>