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mf\EFS\MFPAdm\MFP Budget Letter\2021-2022\Budget Letter\July 2021\"/>
    </mc:Choice>
  </mc:AlternateContent>
  <workbookProtection workbookPassword="D893" lockStructure="1"/>
  <bookViews>
    <workbookView xWindow="0" yWindow="0" windowWidth="28800" windowHeight="12000"/>
  </bookViews>
  <sheets>
    <sheet name="1_State Summary" sheetId="1" r:id="rId1"/>
    <sheet name="2_State Distrib and Adjs" sheetId="2" r:id="rId2"/>
    <sheet name="2A-1_EFT (Annual)" sheetId="3" r:id="rId3"/>
    <sheet name="2A-2_EFT (Monthly)" sheetId="4" r:id="rId4"/>
    <sheet name="3_Levels 1&amp;2" sheetId="5" r:id="rId5"/>
    <sheet name="3A_Level 3" sheetId="6" r:id="rId6"/>
    <sheet name="4_Level 4" sheetId="7" r:id="rId7"/>
    <sheet name="5A1_Labs" sheetId="8" r:id="rId8"/>
    <sheet name="5A2_Legacy Type 2" sheetId="9" r:id="rId9"/>
    <sheet name="5A3_OJJ" sheetId="10" r:id="rId10"/>
    <sheet name="5A4_NOCCA" sheetId="11" r:id="rId11"/>
    <sheet name="5A5_LSMSA" sheetId="12" r:id="rId12"/>
    <sheet name="5A6_Thrive" sheetId="13" r:id="rId13"/>
    <sheet name="5B2_RSD LA" sheetId="14" r:id="rId14"/>
    <sheet name="5C1_NewType 2" sheetId="15" r:id="rId15"/>
    <sheet name="6_Local Deduct Calc" sheetId="16" r:id="rId16"/>
    <sheet name="7_Local Revenue" sheetId="17" r:id="rId17"/>
    <sheet name="8_2.1.21 SIS" sheetId="18" r:id="rId18"/>
    <sheet name="8A_2.1.21 RSD Op &amp; 5s" sheetId="19" r:id="rId19"/>
    <sheet name="9_Per Pupil Summary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18" hidden="1">'8A_2.1.21 RSD Op &amp; 5s'!$A$2:$F$2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'1_State Summary'!$A$1:$B$11</definedName>
    <definedName name="_xlnm.Print_Area" localSheetId="1">'2_State Distrib and Adjs'!$A$1:$BE$76</definedName>
    <definedName name="_xlnm.Print_Area" localSheetId="2">'2A-1_EFT (Annual)'!$A$1:$AN$76</definedName>
    <definedName name="_xlnm.Print_Area" localSheetId="3">'2A-2_EFT (Monthly)'!$A$1:$BY$76</definedName>
    <definedName name="_xlnm.Print_Area" localSheetId="4">'3_Levels 1&amp;2'!$A$1:$AZ$76</definedName>
    <definedName name="_xlnm.Print_Area" localSheetId="5">'3A_Level 3'!$A$1:$K$76</definedName>
    <definedName name="_xlnm.Print_Area" localSheetId="6">'4_Level 4'!$A$1:$AP$139</definedName>
    <definedName name="_xlnm.Print_Area" localSheetId="7">'5A1_Labs'!$A$1:$Z$9</definedName>
    <definedName name="_xlnm.Print_Area" localSheetId="8">'5A2_Legacy Type 2'!$A$1:$AH$14</definedName>
    <definedName name="_xlnm.Print_Area" localSheetId="9">'5A3_OJJ'!$A$1:$S$85</definedName>
    <definedName name="_xlnm.Print_Area" localSheetId="10">'5A4_NOCCA'!$A$1:$O$85</definedName>
    <definedName name="_xlnm.Print_Area" localSheetId="11">'5A5_LSMSA'!$A$1:$O$85</definedName>
    <definedName name="_xlnm.Print_Area" localSheetId="12">'5A6_Thrive'!$A$1:$O$85</definedName>
    <definedName name="_xlnm.Print_Area" localSheetId="13">'5B2_RSD LA'!$A$1:$AV$20</definedName>
    <definedName name="_xlnm.Print_Area" localSheetId="14">'5C1_NewType 2'!$A$1:$AV$40</definedName>
    <definedName name="_xlnm.Print_Area" localSheetId="15">'6_Local Deduct Calc'!$A$1:$J$76</definedName>
    <definedName name="_xlnm.Print_Area" localSheetId="16">'7_Local Revenue'!$A$1:$AT$76</definedName>
    <definedName name="_xlnm.Print_Area" localSheetId="17">'8_2.1.21 SIS'!$A$1:$BI$77</definedName>
    <definedName name="_xlnm.Print_Area" localSheetId="18">'8A_2.1.21 RSD Op &amp; 5s'!$A$1:$F$11</definedName>
    <definedName name="_xlnm.Print_Area" localSheetId="19">'9_Per Pupil Summary'!$A$1:$S$77</definedName>
    <definedName name="_xlnm.Print_Titles" localSheetId="1">'2_State Distrib and Adjs'!$A:$B</definedName>
    <definedName name="_xlnm.Print_Titles" localSheetId="2">'2A-1_EFT (Annual)'!$A:$B</definedName>
    <definedName name="_xlnm.Print_Titles" localSheetId="3">'2A-2_EFT (Monthly)'!$A:$B</definedName>
    <definedName name="_xlnm.Print_Titles" localSheetId="4">'3_Levels 1&amp;2'!$A:$B</definedName>
    <definedName name="_xlnm.Print_Titles" localSheetId="5">'3A_Level 3'!$A:$B</definedName>
    <definedName name="_xlnm.Print_Titles" localSheetId="6">'4_Level 4'!$A:$C,'4_Level 4'!$1:$6</definedName>
    <definedName name="_xlnm.Print_Titles" localSheetId="7">'5A1_Labs'!$A:$B</definedName>
    <definedName name="_xlnm.Print_Titles" localSheetId="8">'5A2_Legacy Type 2'!$A:$B</definedName>
    <definedName name="_xlnm.Print_Titles" localSheetId="9">'5A3_OJJ'!$A:$B</definedName>
    <definedName name="_xlnm.Print_Titles" localSheetId="10">'5A4_NOCCA'!$A:$B</definedName>
    <definedName name="_xlnm.Print_Titles" localSheetId="11">'5A5_LSMSA'!$A:$B</definedName>
    <definedName name="_xlnm.Print_Titles" localSheetId="12">'5A6_Thrive'!$A:$B</definedName>
    <definedName name="_xlnm.Print_Titles" localSheetId="13">'5B2_RSD LA'!$A:$C</definedName>
    <definedName name="_xlnm.Print_Titles" localSheetId="14">'5C1_NewType 2'!$A:$C,'5C1_NewType 2'!$1:$4</definedName>
    <definedName name="_xlnm.Print_Titles" localSheetId="16">'7_Local Revenue'!$A:$B</definedName>
    <definedName name="_xlnm.Print_Titles" localSheetId="17">'8_2.1.21 SIS'!$A:$B</definedName>
    <definedName name="_xlnm.Print_Titles" localSheetId="19">'9_Per Pupil Summary'!$A:$B</definedName>
    <definedName name="tbl_001_Base_Matrix___Summary_Reported_Personnel_Salaries">#REF!</definedName>
    <definedName name="Z_DF43B8DA_68E8_4080_9138_D41A38219876_.wvu.Cols" localSheetId="6" hidden="1">'4_Level 4'!$B:$B</definedName>
    <definedName name="Z_DF43B8DA_68E8_4080_9138_D41A38219876_.wvu.Cols" localSheetId="13" hidden="1">'5B2_RSD LA'!$B:$B</definedName>
    <definedName name="Z_DF43B8DA_68E8_4080_9138_D41A38219876_.wvu.Cols" localSheetId="14" hidden="1">'5C1_NewType 2'!#REF!</definedName>
    <definedName name="Z_DF43B8DA_68E8_4080_9138_D41A38219876_.wvu.Cols" localSheetId="17" hidden="1">'8_2.1.21 SIS'!$AM:$AS</definedName>
    <definedName name="Z_DF43B8DA_68E8_4080_9138_D41A38219876_.wvu.FilterData" localSheetId="18" hidden="1">'8A_2.1.21 RSD Op &amp; 5s'!$A$2:$F$2</definedName>
    <definedName name="Z_DF43B8DA_68E8_4080_9138_D41A38219876_.wvu.PrintArea" localSheetId="0" hidden="1">'1_State Summary'!$A$1:$B$11</definedName>
    <definedName name="Z_DF43B8DA_68E8_4080_9138_D41A38219876_.wvu.PrintArea" localSheetId="1" hidden="1">'2_State Distrib and Adjs'!$A$1:$BE$76</definedName>
    <definedName name="Z_DF43B8DA_68E8_4080_9138_D41A38219876_.wvu.PrintArea" localSheetId="2" hidden="1">'2A-1_EFT (Annual)'!$A$1:$AN$76</definedName>
    <definedName name="Z_DF43B8DA_68E8_4080_9138_D41A38219876_.wvu.PrintArea" localSheetId="3" hidden="1">'2A-2_EFT (Monthly)'!$A$1:$AN$76</definedName>
    <definedName name="Z_DF43B8DA_68E8_4080_9138_D41A38219876_.wvu.PrintArea" localSheetId="4" hidden="1">'3_Levels 1&amp;2'!$A$1:$AZ$76</definedName>
    <definedName name="Z_DF43B8DA_68E8_4080_9138_D41A38219876_.wvu.PrintArea" localSheetId="5" hidden="1">'3A_Level 3'!$A$1:$K$76</definedName>
    <definedName name="Z_DF43B8DA_68E8_4080_9138_D41A38219876_.wvu.PrintArea" localSheetId="6" hidden="1">'4_Level 4'!$A$1:$AP$139</definedName>
    <definedName name="Z_DF43B8DA_68E8_4080_9138_D41A38219876_.wvu.PrintArea" localSheetId="7" hidden="1">'5A1_Labs'!$A$1:$Z$9</definedName>
    <definedName name="Z_DF43B8DA_68E8_4080_9138_D41A38219876_.wvu.PrintArea" localSheetId="8" hidden="1">'5A2_Legacy Type 2'!$A$1:$AH$14</definedName>
    <definedName name="Z_DF43B8DA_68E8_4080_9138_D41A38219876_.wvu.PrintArea" localSheetId="9" hidden="1">'5A3_OJJ'!$A$1:$S$85</definedName>
    <definedName name="Z_DF43B8DA_68E8_4080_9138_D41A38219876_.wvu.PrintArea" localSheetId="10" hidden="1">'5A4_NOCCA'!$A$1:$O$85</definedName>
    <definedName name="Z_DF43B8DA_68E8_4080_9138_D41A38219876_.wvu.PrintArea" localSheetId="11" hidden="1">'5A5_LSMSA'!$A$1:$O$85</definedName>
    <definedName name="Z_DF43B8DA_68E8_4080_9138_D41A38219876_.wvu.PrintArea" localSheetId="12" hidden="1">'5A6_Thrive'!$A$1:$O$85</definedName>
    <definedName name="Z_DF43B8DA_68E8_4080_9138_D41A38219876_.wvu.PrintArea" localSheetId="13" hidden="1">'5B2_RSD LA'!$A$1:$AV$20</definedName>
    <definedName name="Z_DF43B8DA_68E8_4080_9138_D41A38219876_.wvu.PrintArea" localSheetId="14" hidden="1">'5C1_NewType 2'!$A$1:$AV$40</definedName>
    <definedName name="Z_DF43B8DA_68E8_4080_9138_D41A38219876_.wvu.PrintArea" localSheetId="15" hidden="1">'6_Local Deduct Calc'!$A$1:$J$76</definedName>
    <definedName name="Z_DF43B8DA_68E8_4080_9138_D41A38219876_.wvu.PrintArea" localSheetId="16" hidden="1">'7_Local Revenue'!$A$1:$AT$76</definedName>
    <definedName name="Z_DF43B8DA_68E8_4080_9138_D41A38219876_.wvu.PrintArea" localSheetId="17" hidden="1">'8_2.1.21 SIS'!$A$1:$BI$76</definedName>
    <definedName name="Z_DF43B8DA_68E8_4080_9138_D41A38219876_.wvu.PrintArea" localSheetId="18" hidden="1">'8A_2.1.21 RSD Op &amp; 5s'!$A$1:$F$12</definedName>
    <definedName name="Z_DF43B8DA_68E8_4080_9138_D41A38219876_.wvu.PrintArea" localSheetId="19" hidden="1">'9_Per Pupil Summary'!$A$1:$S$77</definedName>
    <definedName name="Z_DF43B8DA_68E8_4080_9138_D41A38219876_.wvu.PrintTitles" localSheetId="1" hidden="1">'2_State Distrib and Adjs'!$A:$B</definedName>
    <definedName name="Z_DF43B8DA_68E8_4080_9138_D41A38219876_.wvu.PrintTitles" localSheetId="2" hidden="1">'2A-1_EFT (Annual)'!$A:$B</definedName>
    <definedName name="Z_DF43B8DA_68E8_4080_9138_D41A38219876_.wvu.PrintTitles" localSheetId="3" hidden="1">'2A-2_EFT (Monthly)'!$A:$B</definedName>
    <definedName name="Z_DF43B8DA_68E8_4080_9138_D41A38219876_.wvu.PrintTitles" localSheetId="4" hidden="1">'3_Levels 1&amp;2'!$A:$B</definedName>
    <definedName name="Z_DF43B8DA_68E8_4080_9138_D41A38219876_.wvu.PrintTitles" localSheetId="5" hidden="1">'3A_Level 3'!$A:$B</definedName>
    <definedName name="Z_DF43B8DA_68E8_4080_9138_D41A38219876_.wvu.PrintTitles" localSheetId="6" hidden="1">'4_Level 4'!$A:$C,'4_Level 4'!$1:$4</definedName>
    <definedName name="Z_DF43B8DA_68E8_4080_9138_D41A38219876_.wvu.PrintTitles" localSheetId="7" hidden="1">'5A1_Labs'!$A:$B</definedName>
    <definedName name="Z_DF43B8DA_68E8_4080_9138_D41A38219876_.wvu.PrintTitles" localSheetId="8" hidden="1">'5A2_Legacy Type 2'!$A:$B</definedName>
    <definedName name="Z_DF43B8DA_68E8_4080_9138_D41A38219876_.wvu.PrintTitles" localSheetId="9" hidden="1">'5A3_OJJ'!$A:$B</definedName>
    <definedName name="Z_DF43B8DA_68E8_4080_9138_D41A38219876_.wvu.PrintTitles" localSheetId="10" hidden="1">'5A4_NOCCA'!$A:$B</definedName>
    <definedName name="Z_DF43B8DA_68E8_4080_9138_D41A38219876_.wvu.PrintTitles" localSheetId="11" hidden="1">'5A5_LSMSA'!$A:$B</definedName>
    <definedName name="Z_DF43B8DA_68E8_4080_9138_D41A38219876_.wvu.PrintTitles" localSheetId="12" hidden="1">'5A6_Thrive'!$A:$B</definedName>
    <definedName name="Z_DF43B8DA_68E8_4080_9138_D41A38219876_.wvu.PrintTitles" localSheetId="13" hidden="1">'5B2_RSD LA'!$A:$C</definedName>
    <definedName name="Z_DF43B8DA_68E8_4080_9138_D41A38219876_.wvu.PrintTitles" localSheetId="14" hidden="1">'5C1_NewType 2'!$A:$C,'5C1_NewType 2'!$1:$4</definedName>
    <definedName name="Z_DF43B8DA_68E8_4080_9138_D41A38219876_.wvu.PrintTitles" localSheetId="16" hidden="1">'7_Local Revenue'!$A:$B</definedName>
    <definedName name="Z_DF43B8DA_68E8_4080_9138_D41A38219876_.wvu.PrintTitles" localSheetId="17" hidden="1">'8_2.1.21 SIS'!$A:$B</definedName>
    <definedName name="Z_DF43B8DA_68E8_4080_9138_D41A38219876_.wvu.PrintTitles" localSheetId="19" hidden="1">'9_Per Pupil Summary'!$A:$B</definedName>
    <definedName name="Z_DF43B8DA_68E8_4080_9138_D41A38219876_.wvu.Rows" localSheetId="1" hidden="1">'2_State Distrib and Adjs'!$3:$3</definedName>
    <definedName name="Z_DF43B8DA_68E8_4080_9138_D41A38219876_.wvu.Rows" localSheetId="2" hidden="1">'2A-1_EFT (Annual)'!$3:$3,'2A-1_EFT (Annual)'!$5:$5</definedName>
    <definedName name="Z_DF43B8DA_68E8_4080_9138_D41A38219876_.wvu.Rows" localSheetId="3" hidden="1">'2A-2_EFT (Monthly)'!$3:$3,'2A-2_EFT (Monthly)'!$5:$5</definedName>
    <definedName name="Z_DF43B8DA_68E8_4080_9138_D41A38219876_.wvu.Rows" localSheetId="4" hidden="1">'3_Levels 1&amp;2'!$5:$5</definedName>
    <definedName name="Z_DF43B8DA_68E8_4080_9138_D41A38219876_.wvu.Rows" localSheetId="5" hidden="1">'3A_Level 3'!$5:$5</definedName>
    <definedName name="Z_DF43B8DA_68E8_4080_9138_D41A38219876_.wvu.Rows" localSheetId="6" hidden="1">'4_Level 4'!$5:$5</definedName>
    <definedName name="Z_DF43B8DA_68E8_4080_9138_D41A38219876_.wvu.Rows" localSheetId="7" hidden="1">'5A1_Labs'!$5:$5</definedName>
    <definedName name="Z_DF43B8DA_68E8_4080_9138_D41A38219876_.wvu.Rows" localSheetId="8" hidden="1">'5A2_Legacy Type 2'!$5:$5</definedName>
    <definedName name="Z_DF43B8DA_68E8_4080_9138_D41A38219876_.wvu.Rows" localSheetId="9" hidden="1">'5A3_OJJ'!$5:$5</definedName>
    <definedName name="Z_DF43B8DA_68E8_4080_9138_D41A38219876_.wvu.Rows" localSheetId="10" hidden="1">'5A4_NOCCA'!$5:$5</definedName>
    <definedName name="Z_DF43B8DA_68E8_4080_9138_D41A38219876_.wvu.Rows" localSheetId="11" hidden="1">'5A5_LSMSA'!$5:$5</definedName>
    <definedName name="Z_DF43B8DA_68E8_4080_9138_D41A38219876_.wvu.Rows" localSheetId="12" hidden="1">'5A6_Thrive'!$5:$5</definedName>
    <definedName name="Z_DF43B8DA_68E8_4080_9138_D41A38219876_.wvu.Rows" localSheetId="13" hidden="1">'5B2_RSD LA'!$5:$5</definedName>
    <definedName name="Z_DF43B8DA_68E8_4080_9138_D41A38219876_.wvu.Rows" localSheetId="14" hidden="1">'5C1_NewType 2'!$5:$5</definedName>
    <definedName name="Z_DF43B8DA_68E8_4080_9138_D41A38219876_.wvu.Rows" localSheetId="15" hidden="1">'6_Local Deduct Calc'!$5:$5</definedName>
    <definedName name="Z_DF43B8DA_68E8_4080_9138_D41A38219876_.wvu.Rows" localSheetId="16" hidden="1">'7_Local Revenue'!$6:$6</definedName>
    <definedName name="Z_DF43B8DA_68E8_4080_9138_D41A38219876_.wvu.Rows" localSheetId="17" hidden="1">'8_2.1.21 SIS'!$5:$6</definedName>
    <definedName name="Z_DF43B8DA_68E8_4080_9138_D41A38219876_.wvu.Rows" localSheetId="18" hidden="1">'8A_2.1.21 RSD Op &amp; 5s'!$3:$3</definedName>
    <definedName name="Z_DF43B8DA_68E8_4080_9138_D41A38219876_.wvu.Rows" localSheetId="19" hidden="1">'9_Per Pupil Summary'!$5:$5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7" l="1"/>
  <c r="AV7" i="18"/>
  <c r="C7" i="5"/>
  <c r="AV8" i="18"/>
  <c r="C8" i="5"/>
  <c r="AV9" i="18"/>
  <c r="C9" i="5"/>
  <c r="AV10" i="18"/>
  <c r="C10" i="5"/>
  <c r="AV11" i="18"/>
  <c r="C11" i="5"/>
  <c r="AV12" i="18"/>
  <c r="C12" i="5"/>
  <c r="AV13" i="18"/>
  <c r="C13" i="5"/>
  <c r="AV14" i="18"/>
  <c r="C14" i="5"/>
  <c r="AV15" i="18"/>
  <c r="C15" i="5"/>
  <c r="AV16" i="18"/>
  <c r="C16" i="5"/>
  <c r="AV17" i="18"/>
  <c r="C17" i="5"/>
  <c r="AV18" i="18"/>
  <c r="C18" i="5"/>
  <c r="AV19" i="18"/>
  <c r="C19" i="5"/>
  <c r="AV20" i="18"/>
  <c r="C20" i="5"/>
  <c r="AV21" i="18"/>
  <c r="C21" i="5"/>
  <c r="AV22" i="18"/>
  <c r="C22" i="5"/>
  <c r="AV23" i="18"/>
  <c r="C23" i="5"/>
  <c r="AV24" i="18"/>
  <c r="C24" i="5"/>
  <c r="AV25" i="18"/>
  <c r="C25" i="5"/>
  <c r="AV26" i="18"/>
  <c r="C26" i="5"/>
  <c r="AV27" i="18"/>
  <c r="C27" i="5"/>
  <c r="AV28" i="18"/>
  <c r="C28" i="5"/>
  <c r="AV29" i="18"/>
  <c r="C29" i="5"/>
  <c r="AV30" i="18"/>
  <c r="C30" i="5"/>
  <c r="AV31" i="18"/>
  <c r="C31" i="5"/>
  <c r="AV32" i="18"/>
  <c r="C32" i="5"/>
  <c r="AV33" i="18"/>
  <c r="C33" i="5"/>
  <c r="AV34" i="18"/>
  <c r="C34" i="5"/>
  <c r="AV35" i="18"/>
  <c r="C35" i="5"/>
  <c r="AV36" i="18"/>
  <c r="C36" i="5"/>
  <c r="AV37" i="18"/>
  <c r="C37" i="5"/>
  <c r="AV38" i="18"/>
  <c r="C38" i="5"/>
  <c r="AV39" i="18"/>
  <c r="C39" i="5"/>
  <c r="AV40" i="18"/>
  <c r="C40" i="5"/>
  <c r="AV41" i="18"/>
  <c r="C41" i="5"/>
  <c r="AV42" i="18"/>
  <c r="C42" i="5"/>
  <c r="AV43" i="18"/>
  <c r="C43" i="5"/>
  <c r="AV44" i="18"/>
  <c r="C44" i="5"/>
  <c r="AV45" i="18"/>
  <c r="C45" i="5"/>
  <c r="AV46" i="18"/>
  <c r="C46" i="5"/>
  <c r="AV47" i="18"/>
  <c r="C47" i="5"/>
  <c r="AV48" i="18"/>
  <c r="C48" i="5"/>
  <c r="AV49" i="18"/>
  <c r="C49" i="5"/>
  <c r="AV50" i="18"/>
  <c r="C50" i="5"/>
  <c r="AV51" i="18"/>
  <c r="C51" i="5"/>
  <c r="AV52" i="18"/>
  <c r="C52" i="5"/>
  <c r="AV53" i="18"/>
  <c r="C53" i="5"/>
  <c r="AV54" i="18"/>
  <c r="C54" i="5"/>
  <c r="AV55" i="18"/>
  <c r="C55" i="5"/>
  <c r="AV56" i="18"/>
  <c r="C56" i="5"/>
  <c r="AV57" i="18"/>
  <c r="C57" i="5"/>
  <c r="AV58" i="18"/>
  <c r="C58" i="5"/>
  <c r="AV59" i="18"/>
  <c r="C59" i="5"/>
  <c r="AV60" i="18"/>
  <c r="C60" i="5"/>
  <c r="AV61" i="18"/>
  <c r="C61" i="5"/>
  <c r="AV62" i="18"/>
  <c r="C62" i="5"/>
  <c r="AV63" i="18"/>
  <c r="C63" i="5"/>
  <c r="AV64" i="18"/>
  <c r="C64" i="5"/>
  <c r="AV65" i="18"/>
  <c r="C65" i="5"/>
  <c r="AV66" i="18"/>
  <c r="C66" i="5"/>
  <c r="AV67" i="18"/>
  <c r="C67" i="5"/>
  <c r="AV68" i="18"/>
  <c r="C68" i="5"/>
  <c r="AV69" i="18"/>
  <c r="C69" i="5"/>
  <c r="AV70" i="18"/>
  <c r="C70" i="5"/>
  <c r="AV71" i="18"/>
  <c r="C71" i="5"/>
  <c r="AV72" i="18"/>
  <c r="C72" i="5"/>
  <c r="AV73" i="18"/>
  <c r="C73" i="5"/>
  <c r="AV74" i="18"/>
  <c r="C74" i="5"/>
  <c r="AV75" i="18"/>
  <c r="C75" i="5"/>
  <c r="C76" i="5"/>
  <c r="D7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F7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H7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J7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M7" i="5"/>
  <c r="N7" i="5"/>
  <c r="M8" i="5"/>
  <c r="N8" i="5"/>
  <c r="M9" i="5"/>
  <c r="N9" i="5"/>
  <c r="M10" i="5"/>
  <c r="N10" i="5"/>
  <c r="M11" i="5"/>
  <c r="N11" i="5"/>
  <c r="M12" i="5"/>
  <c r="N12" i="5"/>
  <c r="M13" i="5"/>
  <c r="N13" i="5"/>
  <c r="M14" i="5"/>
  <c r="N14" i="5"/>
  <c r="M15" i="5"/>
  <c r="N15" i="5"/>
  <c r="M16" i="5"/>
  <c r="N16" i="5"/>
  <c r="M17" i="5"/>
  <c r="N17" i="5"/>
  <c r="M18" i="5"/>
  <c r="N18" i="5"/>
  <c r="M19" i="5"/>
  <c r="N19" i="5"/>
  <c r="M20" i="5"/>
  <c r="N20" i="5"/>
  <c r="M21" i="5"/>
  <c r="N21" i="5"/>
  <c r="M22" i="5"/>
  <c r="N22" i="5"/>
  <c r="M23" i="5"/>
  <c r="N23" i="5"/>
  <c r="M24" i="5"/>
  <c r="N24" i="5"/>
  <c r="M25" i="5"/>
  <c r="N25" i="5"/>
  <c r="M26" i="5"/>
  <c r="N26" i="5"/>
  <c r="M27" i="5"/>
  <c r="N27" i="5"/>
  <c r="M28" i="5"/>
  <c r="N28" i="5"/>
  <c r="M29" i="5"/>
  <c r="N29" i="5"/>
  <c r="M30" i="5"/>
  <c r="N30" i="5"/>
  <c r="M31" i="5"/>
  <c r="N31" i="5"/>
  <c r="M32" i="5"/>
  <c r="N32" i="5"/>
  <c r="M33" i="5"/>
  <c r="N33" i="5"/>
  <c r="M34" i="5"/>
  <c r="N34" i="5"/>
  <c r="M35" i="5"/>
  <c r="N35" i="5"/>
  <c r="M36" i="5"/>
  <c r="N36" i="5"/>
  <c r="M37" i="5"/>
  <c r="N37" i="5"/>
  <c r="M38" i="5"/>
  <c r="N38" i="5"/>
  <c r="M39" i="5"/>
  <c r="N39" i="5"/>
  <c r="M40" i="5"/>
  <c r="N40" i="5"/>
  <c r="M41" i="5"/>
  <c r="N41" i="5"/>
  <c r="M42" i="5"/>
  <c r="N42" i="5"/>
  <c r="M43" i="5"/>
  <c r="N43" i="5"/>
  <c r="M44" i="5"/>
  <c r="N44" i="5"/>
  <c r="M45" i="5"/>
  <c r="N45" i="5"/>
  <c r="M46" i="5"/>
  <c r="N46" i="5"/>
  <c r="M47" i="5"/>
  <c r="N47" i="5"/>
  <c r="M48" i="5"/>
  <c r="N48" i="5"/>
  <c r="M49" i="5"/>
  <c r="N49" i="5"/>
  <c r="M50" i="5"/>
  <c r="N50" i="5"/>
  <c r="M51" i="5"/>
  <c r="N51" i="5"/>
  <c r="M52" i="5"/>
  <c r="N52" i="5"/>
  <c r="M53" i="5"/>
  <c r="N53" i="5"/>
  <c r="M54" i="5"/>
  <c r="N54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N7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Q1" i="5"/>
  <c r="Q7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R76" i="5"/>
  <c r="C7" i="17"/>
  <c r="D7" i="17"/>
  <c r="E7" i="17"/>
  <c r="H7" i="17"/>
  <c r="D7" i="16"/>
  <c r="S7" i="17"/>
  <c r="W7" i="17"/>
  <c r="X7" i="17"/>
  <c r="J7" i="17"/>
  <c r="L7" i="17"/>
  <c r="P7" i="17"/>
  <c r="Q7" i="17"/>
  <c r="AE7" i="17"/>
  <c r="AF7" i="17"/>
  <c r="S8" i="17"/>
  <c r="W8" i="17"/>
  <c r="X8" i="17"/>
  <c r="J8" i="17"/>
  <c r="L8" i="17"/>
  <c r="P8" i="17"/>
  <c r="Q8" i="17"/>
  <c r="AE8" i="17"/>
  <c r="AF8" i="17"/>
  <c r="S9" i="17"/>
  <c r="W9" i="17"/>
  <c r="X9" i="17"/>
  <c r="J9" i="17"/>
  <c r="L9" i="17"/>
  <c r="P9" i="17"/>
  <c r="Q9" i="17"/>
  <c r="AE9" i="17"/>
  <c r="AF9" i="17"/>
  <c r="S10" i="17"/>
  <c r="W10" i="17"/>
  <c r="X10" i="17"/>
  <c r="J10" i="17"/>
  <c r="L10" i="17"/>
  <c r="P10" i="17"/>
  <c r="Q10" i="17"/>
  <c r="AE10" i="17"/>
  <c r="AF10" i="17"/>
  <c r="S11" i="17"/>
  <c r="W11" i="17"/>
  <c r="X11" i="17"/>
  <c r="J11" i="17"/>
  <c r="L11" i="17"/>
  <c r="P11" i="17"/>
  <c r="Q11" i="17"/>
  <c r="AE11" i="17"/>
  <c r="AF11" i="17"/>
  <c r="S12" i="17"/>
  <c r="W12" i="17"/>
  <c r="X12" i="17"/>
  <c r="J12" i="17"/>
  <c r="L12" i="17"/>
  <c r="P12" i="17"/>
  <c r="Q12" i="17"/>
  <c r="AE12" i="17"/>
  <c r="AF12" i="17"/>
  <c r="S13" i="17"/>
  <c r="W13" i="17"/>
  <c r="X13" i="17"/>
  <c r="J13" i="17"/>
  <c r="L13" i="17"/>
  <c r="P13" i="17"/>
  <c r="Q13" i="17"/>
  <c r="AE13" i="17"/>
  <c r="AF13" i="17"/>
  <c r="S14" i="17"/>
  <c r="W14" i="17"/>
  <c r="X14" i="17"/>
  <c r="J14" i="17"/>
  <c r="L14" i="17"/>
  <c r="P14" i="17"/>
  <c r="Q14" i="17"/>
  <c r="AE14" i="17"/>
  <c r="AF14" i="17"/>
  <c r="S15" i="17"/>
  <c r="W15" i="17"/>
  <c r="X15" i="17"/>
  <c r="J15" i="17"/>
  <c r="L15" i="17"/>
  <c r="P15" i="17"/>
  <c r="Q15" i="17"/>
  <c r="AE15" i="17"/>
  <c r="AF15" i="17"/>
  <c r="S16" i="17"/>
  <c r="W16" i="17"/>
  <c r="X16" i="17"/>
  <c r="J16" i="17"/>
  <c r="L16" i="17"/>
  <c r="P16" i="17"/>
  <c r="Q16" i="17"/>
  <c r="AE16" i="17"/>
  <c r="AF16" i="17"/>
  <c r="S17" i="17"/>
  <c r="W17" i="17"/>
  <c r="X17" i="17"/>
  <c r="J17" i="17"/>
  <c r="L17" i="17"/>
  <c r="P17" i="17"/>
  <c r="Q17" i="17"/>
  <c r="AE17" i="17"/>
  <c r="AF17" i="17"/>
  <c r="S18" i="17"/>
  <c r="W18" i="17"/>
  <c r="X18" i="17"/>
  <c r="J18" i="17"/>
  <c r="L18" i="17"/>
  <c r="P18" i="17"/>
  <c r="Q18" i="17"/>
  <c r="AE18" i="17"/>
  <c r="AF18" i="17"/>
  <c r="S19" i="17"/>
  <c r="W19" i="17"/>
  <c r="X19" i="17"/>
  <c r="J19" i="17"/>
  <c r="L19" i="17"/>
  <c r="P19" i="17"/>
  <c r="Q19" i="17"/>
  <c r="AE19" i="17"/>
  <c r="AF19" i="17"/>
  <c r="S20" i="17"/>
  <c r="W20" i="17"/>
  <c r="X20" i="17"/>
  <c r="J20" i="17"/>
  <c r="L20" i="17"/>
  <c r="P20" i="17"/>
  <c r="Q20" i="17"/>
  <c r="AE20" i="17"/>
  <c r="AF20" i="17"/>
  <c r="S21" i="17"/>
  <c r="W21" i="17"/>
  <c r="X21" i="17"/>
  <c r="J21" i="17"/>
  <c r="L21" i="17"/>
  <c r="P21" i="17"/>
  <c r="Q21" i="17"/>
  <c r="AE21" i="17"/>
  <c r="AF21" i="17"/>
  <c r="S22" i="17"/>
  <c r="W22" i="17"/>
  <c r="X22" i="17"/>
  <c r="J22" i="17"/>
  <c r="L22" i="17"/>
  <c r="P22" i="17"/>
  <c r="Q22" i="17"/>
  <c r="AE22" i="17"/>
  <c r="AF22" i="17"/>
  <c r="S23" i="17"/>
  <c r="W23" i="17"/>
  <c r="X23" i="17"/>
  <c r="J23" i="17"/>
  <c r="L23" i="17"/>
  <c r="P23" i="17"/>
  <c r="Q23" i="17"/>
  <c r="AE23" i="17"/>
  <c r="AF23" i="17"/>
  <c r="S24" i="17"/>
  <c r="W24" i="17"/>
  <c r="X24" i="17"/>
  <c r="J24" i="17"/>
  <c r="L24" i="17"/>
  <c r="P24" i="17"/>
  <c r="Q24" i="17"/>
  <c r="AE24" i="17"/>
  <c r="AF24" i="17"/>
  <c r="S25" i="17"/>
  <c r="W25" i="17"/>
  <c r="X25" i="17"/>
  <c r="J25" i="17"/>
  <c r="L25" i="17"/>
  <c r="P25" i="17"/>
  <c r="Q25" i="17"/>
  <c r="AE25" i="17"/>
  <c r="AF25" i="17"/>
  <c r="S26" i="17"/>
  <c r="W26" i="17"/>
  <c r="X26" i="17"/>
  <c r="J26" i="17"/>
  <c r="L26" i="17"/>
  <c r="P26" i="17"/>
  <c r="Q26" i="17"/>
  <c r="AE26" i="17"/>
  <c r="AF26" i="17"/>
  <c r="S27" i="17"/>
  <c r="W27" i="17"/>
  <c r="X27" i="17"/>
  <c r="J27" i="17"/>
  <c r="L27" i="17"/>
  <c r="P27" i="17"/>
  <c r="Q27" i="17"/>
  <c r="AE27" i="17"/>
  <c r="AF27" i="17"/>
  <c r="S28" i="17"/>
  <c r="W28" i="17"/>
  <c r="X28" i="17"/>
  <c r="J28" i="17"/>
  <c r="L28" i="17"/>
  <c r="P28" i="17"/>
  <c r="Q28" i="17"/>
  <c r="AE28" i="17"/>
  <c r="AF28" i="17"/>
  <c r="S29" i="17"/>
  <c r="W29" i="17"/>
  <c r="X29" i="17"/>
  <c r="J29" i="17"/>
  <c r="L29" i="17"/>
  <c r="P29" i="17"/>
  <c r="Q29" i="17"/>
  <c r="AE29" i="17"/>
  <c r="AF29" i="17"/>
  <c r="S30" i="17"/>
  <c r="W30" i="17"/>
  <c r="X30" i="17"/>
  <c r="J30" i="17"/>
  <c r="L30" i="17"/>
  <c r="P30" i="17"/>
  <c r="Q30" i="17"/>
  <c r="AE30" i="17"/>
  <c r="AF30" i="17"/>
  <c r="S31" i="17"/>
  <c r="W31" i="17"/>
  <c r="X31" i="17"/>
  <c r="J31" i="17"/>
  <c r="L31" i="17"/>
  <c r="P31" i="17"/>
  <c r="Q31" i="17"/>
  <c r="AE31" i="17"/>
  <c r="AF31" i="17"/>
  <c r="S32" i="17"/>
  <c r="W32" i="17"/>
  <c r="X32" i="17"/>
  <c r="J32" i="17"/>
  <c r="L32" i="17"/>
  <c r="P32" i="17"/>
  <c r="Q32" i="17"/>
  <c r="AE32" i="17"/>
  <c r="AF32" i="17"/>
  <c r="S33" i="17"/>
  <c r="W33" i="17"/>
  <c r="X33" i="17"/>
  <c r="J33" i="17"/>
  <c r="L33" i="17"/>
  <c r="P33" i="17"/>
  <c r="Q33" i="17"/>
  <c r="AE33" i="17"/>
  <c r="AF33" i="17"/>
  <c r="S34" i="17"/>
  <c r="W34" i="17"/>
  <c r="X34" i="17"/>
  <c r="J34" i="17"/>
  <c r="L34" i="17"/>
  <c r="P34" i="17"/>
  <c r="Q34" i="17"/>
  <c r="AE34" i="17"/>
  <c r="AF34" i="17"/>
  <c r="S35" i="17"/>
  <c r="W35" i="17"/>
  <c r="X35" i="17"/>
  <c r="J35" i="17"/>
  <c r="L35" i="17"/>
  <c r="P35" i="17"/>
  <c r="Q35" i="17"/>
  <c r="AE35" i="17"/>
  <c r="AF35" i="17"/>
  <c r="S36" i="17"/>
  <c r="W36" i="17"/>
  <c r="X36" i="17"/>
  <c r="J36" i="17"/>
  <c r="L36" i="17"/>
  <c r="P36" i="17"/>
  <c r="Q36" i="17"/>
  <c r="AE36" i="17"/>
  <c r="AF36" i="17"/>
  <c r="S37" i="17"/>
  <c r="W37" i="17"/>
  <c r="X37" i="17"/>
  <c r="J37" i="17"/>
  <c r="L37" i="17"/>
  <c r="P37" i="17"/>
  <c r="Q37" i="17"/>
  <c r="AE37" i="17"/>
  <c r="AF37" i="17"/>
  <c r="S38" i="17"/>
  <c r="W38" i="17"/>
  <c r="X38" i="17"/>
  <c r="J38" i="17"/>
  <c r="L38" i="17"/>
  <c r="P38" i="17"/>
  <c r="Q38" i="17"/>
  <c r="AE38" i="17"/>
  <c r="AF38" i="17"/>
  <c r="S39" i="17"/>
  <c r="W39" i="17"/>
  <c r="X39" i="17"/>
  <c r="J39" i="17"/>
  <c r="L39" i="17"/>
  <c r="P39" i="17"/>
  <c r="Q39" i="17"/>
  <c r="AE39" i="17"/>
  <c r="AF39" i="17"/>
  <c r="S40" i="17"/>
  <c r="W40" i="17"/>
  <c r="X40" i="17"/>
  <c r="J40" i="17"/>
  <c r="L40" i="17"/>
  <c r="P40" i="17"/>
  <c r="Q40" i="17"/>
  <c r="AE40" i="17"/>
  <c r="AF40" i="17"/>
  <c r="S41" i="17"/>
  <c r="W41" i="17"/>
  <c r="X41" i="17"/>
  <c r="J41" i="17"/>
  <c r="L41" i="17"/>
  <c r="P41" i="17"/>
  <c r="Q41" i="17"/>
  <c r="AE41" i="17"/>
  <c r="AF41" i="17"/>
  <c r="S42" i="17"/>
  <c r="W42" i="17"/>
  <c r="X42" i="17"/>
  <c r="J42" i="17"/>
  <c r="L42" i="17"/>
  <c r="P42" i="17"/>
  <c r="Q42" i="17"/>
  <c r="AE42" i="17"/>
  <c r="AF42" i="17"/>
  <c r="S43" i="17"/>
  <c r="W43" i="17"/>
  <c r="X43" i="17"/>
  <c r="J43" i="17"/>
  <c r="L43" i="17"/>
  <c r="P43" i="17"/>
  <c r="Q43" i="17"/>
  <c r="AE43" i="17"/>
  <c r="AF43" i="17"/>
  <c r="S44" i="17"/>
  <c r="W44" i="17"/>
  <c r="X44" i="17"/>
  <c r="J44" i="17"/>
  <c r="L44" i="17"/>
  <c r="P44" i="17"/>
  <c r="Q44" i="17"/>
  <c r="AE44" i="17"/>
  <c r="AF44" i="17"/>
  <c r="S45" i="17"/>
  <c r="W45" i="17"/>
  <c r="X45" i="17"/>
  <c r="J45" i="17"/>
  <c r="L45" i="17"/>
  <c r="P45" i="17"/>
  <c r="Q45" i="17"/>
  <c r="AE45" i="17"/>
  <c r="AF45" i="17"/>
  <c r="S46" i="17"/>
  <c r="W46" i="17"/>
  <c r="X46" i="17"/>
  <c r="J46" i="17"/>
  <c r="L46" i="17"/>
  <c r="P46" i="17"/>
  <c r="Q46" i="17"/>
  <c r="AE46" i="17"/>
  <c r="AF46" i="17"/>
  <c r="S47" i="17"/>
  <c r="W47" i="17"/>
  <c r="X47" i="17"/>
  <c r="J47" i="17"/>
  <c r="L47" i="17"/>
  <c r="P47" i="17"/>
  <c r="Q47" i="17"/>
  <c r="AE47" i="17"/>
  <c r="AF47" i="17"/>
  <c r="S48" i="17"/>
  <c r="W48" i="17"/>
  <c r="X48" i="17"/>
  <c r="J48" i="17"/>
  <c r="L48" i="17"/>
  <c r="P48" i="17"/>
  <c r="Q48" i="17"/>
  <c r="AE48" i="17"/>
  <c r="AF48" i="17"/>
  <c r="S49" i="17"/>
  <c r="W49" i="17"/>
  <c r="X49" i="17"/>
  <c r="J49" i="17"/>
  <c r="L49" i="17"/>
  <c r="P49" i="17"/>
  <c r="Q49" i="17"/>
  <c r="AE49" i="17"/>
  <c r="AF49" i="17"/>
  <c r="S50" i="17"/>
  <c r="W50" i="17"/>
  <c r="X50" i="17"/>
  <c r="J50" i="17"/>
  <c r="L50" i="17"/>
  <c r="P50" i="17"/>
  <c r="Q50" i="17"/>
  <c r="AE50" i="17"/>
  <c r="AF50" i="17"/>
  <c r="S51" i="17"/>
  <c r="W51" i="17"/>
  <c r="X51" i="17"/>
  <c r="J51" i="17"/>
  <c r="L51" i="17"/>
  <c r="P51" i="17"/>
  <c r="Q51" i="17"/>
  <c r="AE51" i="17"/>
  <c r="AF51" i="17"/>
  <c r="S52" i="17"/>
  <c r="W52" i="17"/>
  <c r="X52" i="17"/>
  <c r="J52" i="17"/>
  <c r="L52" i="17"/>
  <c r="P52" i="17"/>
  <c r="Q52" i="17"/>
  <c r="AE52" i="17"/>
  <c r="AF52" i="17"/>
  <c r="S53" i="17"/>
  <c r="W53" i="17"/>
  <c r="X53" i="17"/>
  <c r="J53" i="17"/>
  <c r="L53" i="17"/>
  <c r="P53" i="17"/>
  <c r="Q53" i="17"/>
  <c r="AE53" i="17"/>
  <c r="AF53" i="17"/>
  <c r="S54" i="17"/>
  <c r="W54" i="17"/>
  <c r="X54" i="17"/>
  <c r="J54" i="17"/>
  <c r="L54" i="17"/>
  <c r="P54" i="17"/>
  <c r="Q54" i="17"/>
  <c r="AE54" i="17"/>
  <c r="AF54" i="17"/>
  <c r="S55" i="17"/>
  <c r="W55" i="17"/>
  <c r="X55" i="17"/>
  <c r="J55" i="17"/>
  <c r="L55" i="17"/>
  <c r="P55" i="17"/>
  <c r="Q55" i="17"/>
  <c r="AE55" i="17"/>
  <c r="AF55" i="17"/>
  <c r="S56" i="17"/>
  <c r="W56" i="17"/>
  <c r="X56" i="17"/>
  <c r="J56" i="17"/>
  <c r="L56" i="17"/>
  <c r="P56" i="17"/>
  <c r="Q56" i="17"/>
  <c r="AE56" i="17"/>
  <c r="AF56" i="17"/>
  <c r="S57" i="17"/>
  <c r="W57" i="17"/>
  <c r="X57" i="17"/>
  <c r="J57" i="17"/>
  <c r="L57" i="17"/>
  <c r="P57" i="17"/>
  <c r="Q57" i="17"/>
  <c r="AE57" i="17"/>
  <c r="AF57" i="17"/>
  <c r="S58" i="17"/>
  <c r="W58" i="17"/>
  <c r="X58" i="17"/>
  <c r="J58" i="17"/>
  <c r="L58" i="17"/>
  <c r="P58" i="17"/>
  <c r="Q58" i="17"/>
  <c r="AE58" i="17"/>
  <c r="AF58" i="17"/>
  <c r="S59" i="17"/>
  <c r="W59" i="17"/>
  <c r="X59" i="17"/>
  <c r="J59" i="17"/>
  <c r="L59" i="17"/>
  <c r="P59" i="17"/>
  <c r="Q59" i="17"/>
  <c r="AE59" i="17"/>
  <c r="AF59" i="17"/>
  <c r="S60" i="17"/>
  <c r="W60" i="17"/>
  <c r="X60" i="17"/>
  <c r="J60" i="17"/>
  <c r="L60" i="17"/>
  <c r="P60" i="17"/>
  <c r="Q60" i="17"/>
  <c r="AE60" i="17"/>
  <c r="AF60" i="17"/>
  <c r="S61" i="17"/>
  <c r="W61" i="17"/>
  <c r="X61" i="17"/>
  <c r="J61" i="17"/>
  <c r="L61" i="17"/>
  <c r="P61" i="17"/>
  <c r="Q61" i="17"/>
  <c r="AE61" i="17"/>
  <c r="AF61" i="17"/>
  <c r="S62" i="17"/>
  <c r="W62" i="17"/>
  <c r="X62" i="17"/>
  <c r="J62" i="17"/>
  <c r="L62" i="17"/>
  <c r="P62" i="17"/>
  <c r="Q62" i="17"/>
  <c r="AE62" i="17"/>
  <c r="AF62" i="17"/>
  <c r="S63" i="17"/>
  <c r="W63" i="17"/>
  <c r="X63" i="17"/>
  <c r="J63" i="17"/>
  <c r="L63" i="17"/>
  <c r="P63" i="17"/>
  <c r="Q63" i="17"/>
  <c r="AE63" i="17"/>
  <c r="AF63" i="17"/>
  <c r="S64" i="17"/>
  <c r="W64" i="17"/>
  <c r="X64" i="17"/>
  <c r="J64" i="17"/>
  <c r="L64" i="17"/>
  <c r="P64" i="17"/>
  <c r="Q64" i="17"/>
  <c r="AE64" i="17"/>
  <c r="AF64" i="17"/>
  <c r="S65" i="17"/>
  <c r="W65" i="17"/>
  <c r="X65" i="17"/>
  <c r="J65" i="17"/>
  <c r="L65" i="17"/>
  <c r="P65" i="17"/>
  <c r="Q65" i="17"/>
  <c r="AE65" i="17"/>
  <c r="AF65" i="17"/>
  <c r="S66" i="17"/>
  <c r="W66" i="17"/>
  <c r="X66" i="17"/>
  <c r="J66" i="17"/>
  <c r="L66" i="17"/>
  <c r="P66" i="17"/>
  <c r="Q66" i="17"/>
  <c r="AE66" i="17"/>
  <c r="AF66" i="17"/>
  <c r="S67" i="17"/>
  <c r="W67" i="17"/>
  <c r="X67" i="17"/>
  <c r="J67" i="17"/>
  <c r="L67" i="17"/>
  <c r="P67" i="17"/>
  <c r="Q67" i="17"/>
  <c r="AE67" i="17"/>
  <c r="AF67" i="17"/>
  <c r="S68" i="17"/>
  <c r="W68" i="17"/>
  <c r="X68" i="17"/>
  <c r="J68" i="17"/>
  <c r="L68" i="17"/>
  <c r="P68" i="17"/>
  <c r="Q68" i="17"/>
  <c r="AE68" i="17"/>
  <c r="AF68" i="17"/>
  <c r="S69" i="17"/>
  <c r="W69" i="17"/>
  <c r="X69" i="17"/>
  <c r="J69" i="17"/>
  <c r="L69" i="17"/>
  <c r="P69" i="17"/>
  <c r="Q69" i="17"/>
  <c r="AE69" i="17"/>
  <c r="AF69" i="17"/>
  <c r="S70" i="17"/>
  <c r="W70" i="17"/>
  <c r="X70" i="17"/>
  <c r="J70" i="17"/>
  <c r="L70" i="17"/>
  <c r="P70" i="17"/>
  <c r="Q70" i="17"/>
  <c r="AE70" i="17"/>
  <c r="AF70" i="17"/>
  <c r="S71" i="17"/>
  <c r="W71" i="17"/>
  <c r="X71" i="17"/>
  <c r="J71" i="17"/>
  <c r="L71" i="17"/>
  <c r="P71" i="17"/>
  <c r="Q71" i="17"/>
  <c r="AE71" i="17"/>
  <c r="AF71" i="17"/>
  <c r="S72" i="17"/>
  <c r="W72" i="17"/>
  <c r="X72" i="17"/>
  <c r="J72" i="17"/>
  <c r="L72" i="17"/>
  <c r="P72" i="17"/>
  <c r="Q72" i="17"/>
  <c r="AE72" i="17"/>
  <c r="AF72" i="17"/>
  <c r="S73" i="17"/>
  <c r="W73" i="17"/>
  <c r="X73" i="17"/>
  <c r="J73" i="17"/>
  <c r="L73" i="17"/>
  <c r="P73" i="17"/>
  <c r="Q73" i="17"/>
  <c r="AE73" i="17"/>
  <c r="AF73" i="17"/>
  <c r="S74" i="17"/>
  <c r="W74" i="17"/>
  <c r="X74" i="17"/>
  <c r="J74" i="17"/>
  <c r="L74" i="17"/>
  <c r="P74" i="17"/>
  <c r="Q74" i="17"/>
  <c r="AE74" i="17"/>
  <c r="AF74" i="17"/>
  <c r="S75" i="17"/>
  <c r="W75" i="17"/>
  <c r="X75" i="17"/>
  <c r="J75" i="17"/>
  <c r="L75" i="17"/>
  <c r="P75" i="17"/>
  <c r="Q75" i="17"/>
  <c r="AE75" i="17"/>
  <c r="AF75" i="17"/>
  <c r="AF76" i="17"/>
  <c r="C8" i="17"/>
  <c r="D8" i="17"/>
  <c r="E8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13" i="17"/>
  <c r="D13" i="17"/>
  <c r="E13" i="17"/>
  <c r="C14" i="17"/>
  <c r="D14" i="17"/>
  <c r="E14" i="17"/>
  <c r="C15" i="17"/>
  <c r="D15" i="17"/>
  <c r="E15" i="17"/>
  <c r="C16" i="17"/>
  <c r="D16" i="17"/>
  <c r="E16" i="17"/>
  <c r="C17" i="17"/>
  <c r="D17" i="17"/>
  <c r="E17" i="17"/>
  <c r="C18" i="17"/>
  <c r="D18" i="17"/>
  <c r="E18" i="17"/>
  <c r="C19" i="17"/>
  <c r="D19" i="17"/>
  <c r="E19" i="17"/>
  <c r="C20" i="17"/>
  <c r="D20" i="17"/>
  <c r="E20" i="17"/>
  <c r="C21" i="17"/>
  <c r="D21" i="17"/>
  <c r="E21" i="17"/>
  <c r="C22" i="17"/>
  <c r="D22" i="17"/>
  <c r="E22" i="17"/>
  <c r="C23" i="17"/>
  <c r="D23" i="17"/>
  <c r="E23" i="17"/>
  <c r="C24" i="17"/>
  <c r="D24" i="17"/>
  <c r="E24" i="17"/>
  <c r="C25" i="17"/>
  <c r="D25" i="17"/>
  <c r="E25" i="17"/>
  <c r="C26" i="17"/>
  <c r="D26" i="17"/>
  <c r="E26" i="17"/>
  <c r="C27" i="17"/>
  <c r="D27" i="17"/>
  <c r="E27" i="17"/>
  <c r="C28" i="17"/>
  <c r="D28" i="17"/>
  <c r="E28" i="17"/>
  <c r="C29" i="17"/>
  <c r="D29" i="17"/>
  <c r="E29" i="17"/>
  <c r="C30" i="17"/>
  <c r="D30" i="17"/>
  <c r="E30" i="17"/>
  <c r="C31" i="17"/>
  <c r="D31" i="17"/>
  <c r="E31" i="17"/>
  <c r="C32" i="17"/>
  <c r="D32" i="17"/>
  <c r="E32" i="17"/>
  <c r="C33" i="17"/>
  <c r="D33" i="17"/>
  <c r="E33" i="17"/>
  <c r="C34" i="17"/>
  <c r="D34" i="17"/>
  <c r="E34" i="17"/>
  <c r="C35" i="17"/>
  <c r="D35" i="17"/>
  <c r="E35" i="17"/>
  <c r="C36" i="17"/>
  <c r="D36" i="17"/>
  <c r="E36" i="17"/>
  <c r="C37" i="17"/>
  <c r="D37" i="17"/>
  <c r="E37" i="17"/>
  <c r="C38" i="17"/>
  <c r="D38" i="17"/>
  <c r="E38" i="17"/>
  <c r="C39" i="17"/>
  <c r="D39" i="17"/>
  <c r="E39" i="17"/>
  <c r="C40" i="17"/>
  <c r="D40" i="17"/>
  <c r="E40" i="17"/>
  <c r="C41" i="17"/>
  <c r="D41" i="17"/>
  <c r="E41" i="17"/>
  <c r="C42" i="17"/>
  <c r="D42" i="17"/>
  <c r="E42" i="17"/>
  <c r="C43" i="17"/>
  <c r="D43" i="17"/>
  <c r="E43" i="17"/>
  <c r="C44" i="17"/>
  <c r="D44" i="17"/>
  <c r="E44" i="17"/>
  <c r="C45" i="17"/>
  <c r="D45" i="17"/>
  <c r="E45" i="17"/>
  <c r="C46" i="17"/>
  <c r="D46" i="17"/>
  <c r="E46" i="17"/>
  <c r="C47" i="17"/>
  <c r="D47" i="17"/>
  <c r="E47" i="17"/>
  <c r="C48" i="17"/>
  <c r="D48" i="17"/>
  <c r="E48" i="17"/>
  <c r="C49" i="17"/>
  <c r="D49" i="17"/>
  <c r="E49" i="17"/>
  <c r="C50" i="17"/>
  <c r="D50" i="17"/>
  <c r="E50" i="17"/>
  <c r="C51" i="17"/>
  <c r="D51" i="17"/>
  <c r="E51" i="17"/>
  <c r="C52" i="17"/>
  <c r="D52" i="17"/>
  <c r="E52" i="17"/>
  <c r="C53" i="17"/>
  <c r="D53" i="17"/>
  <c r="E53" i="17"/>
  <c r="C54" i="17"/>
  <c r="D54" i="17"/>
  <c r="E54" i="17"/>
  <c r="C55" i="17"/>
  <c r="D55" i="17"/>
  <c r="E55" i="17"/>
  <c r="C56" i="17"/>
  <c r="D56" i="17"/>
  <c r="E56" i="17"/>
  <c r="C57" i="17"/>
  <c r="D57" i="17"/>
  <c r="E57" i="17"/>
  <c r="C58" i="17"/>
  <c r="D58" i="17"/>
  <c r="E58" i="17"/>
  <c r="C59" i="17"/>
  <c r="D59" i="17"/>
  <c r="E59" i="17"/>
  <c r="C60" i="17"/>
  <c r="D60" i="17"/>
  <c r="E60" i="17"/>
  <c r="C61" i="17"/>
  <c r="D61" i="17"/>
  <c r="E61" i="17"/>
  <c r="C62" i="17"/>
  <c r="D62" i="17"/>
  <c r="E62" i="17"/>
  <c r="C63" i="17"/>
  <c r="D63" i="17"/>
  <c r="E63" i="17"/>
  <c r="C64" i="17"/>
  <c r="D64" i="17"/>
  <c r="E64" i="17"/>
  <c r="C65" i="17"/>
  <c r="D65" i="17"/>
  <c r="E65" i="17"/>
  <c r="C66" i="17"/>
  <c r="D66" i="17"/>
  <c r="E66" i="17"/>
  <c r="C67" i="17"/>
  <c r="D67" i="17"/>
  <c r="E67" i="17"/>
  <c r="C68" i="17"/>
  <c r="D68" i="17"/>
  <c r="E68" i="17"/>
  <c r="C69" i="17"/>
  <c r="D69" i="17"/>
  <c r="E69" i="17"/>
  <c r="C70" i="17"/>
  <c r="D70" i="17"/>
  <c r="E70" i="17"/>
  <c r="C71" i="17"/>
  <c r="D71" i="17"/>
  <c r="E71" i="17"/>
  <c r="C72" i="17"/>
  <c r="D72" i="17"/>
  <c r="E72" i="17"/>
  <c r="C73" i="17"/>
  <c r="D73" i="17"/>
  <c r="E73" i="17"/>
  <c r="C74" i="17"/>
  <c r="D74" i="17"/>
  <c r="E74" i="17"/>
  <c r="C75" i="17"/>
  <c r="D75" i="17"/>
  <c r="E75" i="17"/>
  <c r="E76" i="17"/>
  <c r="AD76" i="17"/>
  <c r="E3" i="16"/>
  <c r="E7" i="16"/>
  <c r="AH7" i="17"/>
  <c r="AI7" i="17"/>
  <c r="AJ7" i="17"/>
  <c r="AK7" i="17"/>
  <c r="AG7" i="17"/>
  <c r="AM7" i="17"/>
  <c r="AO7" i="17"/>
  <c r="G7" i="16"/>
  <c r="AH8" i="17"/>
  <c r="AI8" i="17"/>
  <c r="AJ8" i="17"/>
  <c r="AK8" i="17"/>
  <c r="AH9" i="17"/>
  <c r="AI9" i="17"/>
  <c r="AJ9" i="17"/>
  <c r="AK9" i="17"/>
  <c r="AH10" i="17"/>
  <c r="AI10" i="17"/>
  <c r="AJ10" i="17"/>
  <c r="AK10" i="17"/>
  <c r="AH11" i="17"/>
  <c r="AI11" i="17"/>
  <c r="AJ11" i="17"/>
  <c r="AK11" i="17"/>
  <c r="AH12" i="17"/>
  <c r="AI12" i="17"/>
  <c r="AJ12" i="17"/>
  <c r="AK12" i="17"/>
  <c r="AH13" i="17"/>
  <c r="AI13" i="17"/>
  <c r="AJ13" i="17"/>
  <c r="AK13" i="17"/>
  <c r="AH14" i="17"/>
  <c r="AI14" i="17"/>
  <c r="AJ14" i="17"/>
  <c r="AK14" i="17"/>
  <c r="AH15" i="17"/>
  <c r="AI15" i="17"/>
  <c r="AJ15" i="17"/>
  <c r="AK15" i="17"/>
  <c r="AH16" i="17"/>
  <c r="AI16" i="17"/>
  <c r="AJ16" i="17"/>
  <c r="AK16" i="17"/>
  <c r="AH17" i="17"/>
  <c r="AI17" i="17"/>
  <c r="AJ17" i="17"/>
  <c r="AK17" i="17"/>
  <c r="AH18" i="17"/>
  <c r="AI18" i="17"/>
  <c r="AJ18" i="17"/>
  <c r="AK18" i="17"/>
  <c r="AH19" i="17"/>
  <c r="AI19" i="17"/>
  <c r="AJ19" i="17"/>
  <c r="AK19" i="17"/>
  <c r="AH20" i="17"/>
  <c r="AI20" i="17"/>
  <c r="AJ20" i="17"/>
  <c r="AK20" i="17"/>
  <c r="AH21" i="17"/>
  <c r="AI21" i="17"/>
  <c r="AJ21" i="17"/>
  <c r="AK21" i="17"/>
  <c r="AH22" i="17"/>
  <c r="AI22" i="17"/>
  <c r="AJ22" i="17"/>
  <c r="AK22" i="17"/>
  <c r="AH23" i="17"/>
  <c r="AI23" i="17"/>
  <c r="AJ23" i="17"/>
  <c r="AK23" i="17"/>
  <c r="AH24" i="17"/>
  <c r="AI24" i="17"/>
  <c r="AJ24" i="17"/>
  <c r="AK24" i="17"/>
  <c r="AH25" i="17"/>
  <c r="AI25" i="17"/>
  <c r="AJ25" i="17"/>
  <c r="AK25" i="17"/>
  <c r="AH26" i="17"/>
  <c r="AI26" i="17"/>
  <c r="AJ26" i="17"/>
  <c r="AK26" i="17"/>
  <c r="AH27" i="17"/>
  <c r="AI27" i="17"/>
  <c r="AJ27" i="17"/>
  <c r="AK27" i="17"/>
  <c r="AH28" i="17"/>
  <c r="AI28" i="17"/>
  <c r="AJ28" i="17"/>
  <c r="AK28" i="17"/>
  <c r="AH29" i="17"/>
  <c r="AI29" i="17"/>
  <c r="AJ29" i="17"/>
  <c r="AK29" i="17"/>
  <c r="AH30" i="17"/>
  <c r="AI30" i="17"/>
  <c r="AJ30" i="17"/>
  <c r="AK30" i="17"/>
  <c r="AH31" i="17"/>
  <c r="AI31" i="17"/>
  <c r="AJ31" i="17"/>
  <c r="AK31" i="17"/>
  <c r="AH32" i="17"/>
  <c r="AI32" i="17"/>
  <c r="AJ32" i="17"/>
  <c r="AK32" i="17"/>
  <c r="AH33" i="17"/>
  <c r="AI33" i="17"/>
  <c r="AJ33" i="17"/>
  <c r="AK33" i="17"/>
  <c r="AH34" i="17"/>
  <c r="AI34" i="17"/>
  <c r="AJ34" i="17"/>
  <c r="AK34" i="17"/>
  <c r="AH35" i="17"/>
  <c r="AI35" i="17"/>
  <c r="AJ35" i="17"/>
  <c r="AK35" i="17"/>
  <c r="AH36" i="17"/>
  <c r="AI36" i="17"/>
  <c r="AJ36" i="17"/>
  <c r="AK36" i="17"/>
  <c r="AH37" i="17"/>
  <c r="AI37" i="17"/>
  <c r="AJ37" i="17"/>
  <c r="AK37" i="17"/>
  <c r="AH38" i="17"/>
  <c r="AI38" i="17"/>
  <c r="AJ38" i="17"/>
  <c r="AK38" i="17"/>
  <c r="AH39" i="17"/>
  <c r="AI39" i="17"/>
  <c r="AJ39" i="17"/>
  <c r="AK39" i="17"/>
  <c r="AH40" i="17"/>
  <c r="AI40" i="17"/>
  <c r="AJ40" i="17"/>
  <c r="AK40" i="17"/>
  <c r="AH41" i="17"/>
  <c r="AI41" i="17"/>
  <c r="AJ41" i="17"/>
  <c r="AK41" i="17"/>
  <c r="AH42" i="17"/>
  <c r="AI42" i="17"/>
  <c r="AJ42" i="17"/>
  <c r="AK42" i="17"/>
  <c r="AH43" i="17"/>
  <c r="AI43" i="17"/>
  <c r="AJ43" i="17"/>
  <c r="AK43" i="17"/>
  <c r="AH44" i="17"/>
  <c r="AI44" i="17"/>
  <c r="AJ44" i="17"/>
  <c r="AK44" i="17"/>
  <c r="AH45" i="17"/>
  <c r="AI45" i="17"/>
  <c r="AJ45" i="17"/>
  <c r="AK45" i="17"/>
  <c r="AH46" i="17"/>
  <c r="AI46" i="17"/>
  <c r="AJ46" i="17"/>
  <c r="AK46" i="17"/>
  <c r="AH47" i="17"/>
  <c r="AI47" i="17"/>
  <c r="AJ47" i="17"/>
  <c r="AK47" i="17"/>
  <c r="AH48" i="17"/>
  <c r="AI48" i="17"/>
  <c r="AJ48" i="17"/>
  <c r="AK48" i="17"/>
  <c r="AH49" i="17"/>
  <c r="AI49" i="17"/>
  <c r="AJ49" i="17"/>
  <c r="AK49" i="17"/>
  <c r="AH50" i="17"/>
  <c r="AI50" i="17"/>
  <c r="AJ50" i="17"/>
  <c r="AK50" i="17"/>
  <c r="AH51" i="17"/>
  <c r="AI51" i="17"/>
  <c r="AJ51" i="17"/>
  <c r="AK51" i="17"/>
  <c r="AH52" i="17"/>
  <c r="AI52" i="17"/>
  <c r="AJ52" i="17"/>
  <c r="AK52" i="17"/>
  <c r="AH53" i="17"/>
  <c r="AI53" i="17"/>
  <c r="AJ53" i="17"/>
  <c r="AK53" i="17"/>
  <c r="AH54" i="17"/>
  <c r="AI54" i="17"/>
  <c r="AJ54" i="17"/>
  <c r="AK54" i="17"/>
  <c r="AH55" i="17"/>
  <c r="AI55" i="17"/>
  <c r="AJ55" i="17"/>
  <c r="AK55" i="17"/>
  <c r="AH56" i="17"/>
  <c r="AI56" i="17"/>
  <c r="AJ56" i="17"/>
  <c r="AK56" i="17"/>
  <c r="AH57" i="17"/>
  <c r="AI57" i="17"/>
  <c r="AJ57" i="17"/>
  <c r="AK57" i="17"/>
  <c r="AH58" i="17"/>
  <c r="AI58" i="17"/>
  <c r="AJ58" i="17"/>
  <c r="AK58" i="17"/>
  <c r="AH59" i="17"/>
  <c r="AI59" i="17"/>
  <c r="AJ59" i="17"/>
  <c r="AK59" i="17"/>
  <c r="AH60" i="17"/>
  <c r="AI60" i="17"/>
  <c r="AJ60" i="17"/>
  <c r="AK60" i="17"/>
  <c r="AH61" i="17"/>
  <c r="AI61" i="17"/>
  <c r="AJ61" i="17"/>
  <c r="AK61" i="17"/>
  <c r="AH62" i="17"/>
  <c r="AI62" i="17"/>
  <c r="AJ62" i="17"/>
  <c r="AK62" i="17"/>
  <c r="AH63" i="17"/>
  <c r="AI63" i="17"/>
  <c r="AJ63" i="17"/>
  <c r="AK63" i="17"/>
  <c r="AH64" i="17"/>
  <c r="AI64" i="17"/>
  <c r="AJ64" i="17"/>
  <c r="AK64" i="17"/>
  <c r="AH65" i="17"/>
  <c r="AI65" i="17"/>
  <c r="AJ65" i="17"/>
  <c r="AK65" i="17"/>
  <c r="AH66" i="17"/>
  <c r="AI66" i="17"/>
  <c r="AJ66" i="17"/>
  <c r="AK66" i="17"/>
  <c r="AH67" i="17"/>
  <c r="AI67" i="17"/>
  <c r="AJ67" i="17"/>
  <c r="AK67" i="17"/>
  <c r="AH68" i="17"/>
  <c r="AI68" i="17"/>
  <c r="AJ68" i="17"/>
  <c r="AK68" i="17"/>
  <c r="AH69" i="17"/>
  <c r="AI69" i="17"/>
  <c r="AJ69" i="17"/>
  <c r="AK69" i="17"/>
  <c r="AH70" i="17"/>
  <c r="AI70" i="17"/>
  <c r="AJ70" i="17"/>
  <c r="AK70" i="17"/>
  <c r="AH71" i="17"/>
  <c r="AI71" i="17"/>
  <c r="AJ71" i="17"/>
  <c r="AK71" i="17"/>
  <c r="AH72" i="17"/>
  <c r="AI72" i="17"/>
  <c r="AJ72" i="17"/>
  <c r="AK72" i="17"/>
  <c r="AH73" i="17"/>
  <c r="AI73" i="17"/>
  <c r="AJ73" i="17"/>
  <c r="AK73" i="17"/>
  <c r="AH74" i="17"/>
  <c r="AI74" i="17"/>
  <c r="AJ74" i="17"/>
  <c r="AK74" i="17"/>
  <c r="AH75" i="17"/>
  <c r="AI75" i="17"/>
  <c r="AJ75" i="17"/>
  <c r="AK75" i="17"/>
  <c r="AK76" i="17"/>
  <c r="AG8" i="17"/>
  <c r="AM8" i="17"/>
  <c r="AG9" i="17"/>
  <c r="AM9" i="17"/>
  <c r="AG10" i="17"/>
  <c r="AM10" i="17"/>
  <c r="AG11" i="17"/>
  <c r="AM11" i="17"/>
  <c r="AG12" i="17"/>
  <c r="AM12" i="17"/>
  <c r="AG13" i="17"/>
  <c r="AM13" i="17"/>
  <c r="AG14" i="17"/>
  <c r="AM14" i="17"/>
  <c r="AG15" i="17"/>
  <c r="AM15" i="17"/>
  <c r="AG16" i="17"/>
  <c r="AM16" i="17"/>
  <c r="AG17" i="17"/>
  <c r="AM17" i="17"/>
  <c r="AG19" i="17"/>
  <c r="AM19" i="17"/>
  <c r="AG20" i="17"/>
  <c r="AM20" i="17"/>
  <c r="AG21" i="17"/>
  <c r="AM21" i="17"/>
  <c r="AG22" i="17"/>
  <c r="AM22" i="17"/>
  <c r="AG23" i="17"/>
  <c r="AM23" i="17"/>
  <c r="AG24" i="17"/>
  <c r="AM24" i="17"/>
  <c r="AG25" i="17"/>
  <c r="AM25" i="17"/>
  <c r="AG26" i="17"/>
  <c r="AM26" i="17"/>
  <c r="AG27" i="17"/>
  <c r="AM27" i="17"/>
  <c r="AG28" i="17"/>
  <c r="AM28" i="17"/>
  <c r="AG29" i="17"/>
  <c r="AM29" i="17"/>
  <c r="AG30" i="17"/>
  <c r="AM30" i="17"/>
  <c r="AG31" i="17"/>
  <c r="AM31" i="17"/>
  <c r="AG32" i="17"/>
  <c r="AM32" i="17"/>
  <c r="AG33" i="17"/>
  <c r="AM33" i="17"/>
  <c r="AG34" i="17"/>
  <c r="AM34" i="17"/>
  <c r="AG35" i="17"/>
  <c r="AM35" i="17"/>
  <c r="AG36" i="17"/>
  <c r="AM36" i="17"/>
  <c r="AG37" i="17"/>
  <c r="AM37" i="17"/>
  <c r="AG38" i="17"/>
  <c r="AM38" i="17"/>
  <c r="AG39" i="17"/>
  <c r="AM39" i="17"/>
  <c r="AG40" i="17"/>
  <c r="AM40" i="17"/>
  <c r="AG41" i="17"/>
  <c r="AM41" i="17"/>
  <c r="AG42" i="17"/>
  <c r="AM42" i="17"/>
  <c r="AG43" i="17"/>
  <c r="AM43" i="17"/>
  <c r="AG44" i="17"/>
  <c r="AM44" i="17"/>
  <c r="AG45" i="17"/>
  <c r="AM45" i="17"/>
  <c r="AG46" i="17"/>
  <c r="AM46" i="17"/>
  <c r="AG47" i="17"/>
  <c r="AM47" i="17"/>
  <c r="AG48" i="17"/>
  <c r="AM48" i="17"/>
  <c r="AG49" i="17"/>
  <c r="AM49" i="17"/>
  <c r="AG50" i="17"/>
  <c r="AM50" i="17"/>
  <c r="AG51" i="17"/>
  <c r="AM51" i="17"/>
  <c r="AG52" i="17"/>
  <c r="AM52" i="17"/>
  <c r="AG53" i="17"/>
  <c r="AM53" i="17"/>
  <c r="AG54" i="17"/>
  <c r="AM54" i="17"/>
  <c r="AG55" i="17"/>
  <c r="AM55" i="17"/>
  <c r="AG56" i="17"/>
  <c r="AM56" i="17"/>
  <c r="AG57" i="17"/>
  <c r="AM57" i="17"/>
  <c r="AG58" i="17"/>
  <c r="AM58" i="17"/>
  <c r="AG59" i="17"/>
  <c r="AM59" i="17"/>
  <c r="AG60" i="17"/>
  <c r="AM60" i="17"/>
  <c r="AG61" i="17"/>
  <c r="AM61" i="17"/>
  <c r="AG62" i="17"/>
  <c r="AM62" i="17"/>
  <c r="AG63" i="17"/>
  <c r="AM63" i="17"/>
  <c r="AG64" i="17"/>
  <c r="AM64" i="17"/>
  <c r="AG65" i="17"/>
  <c r="AM65" i="17"/>
  <c r="AG66" i="17"/>
  <c r="AM66" i="17"/>
  <c r="AG67" i="17"/>
  <c r="AM67" i="17"/>
  <c r="AG68" i="17"/>
  <c r="AM68" i="17"/>
  <c r="AG69" i="17"/>
  <c r="AM69" i="17"/>
  <c r="AG70" i="17"/>
  <c r="AM70" i="17"/>
  <c r="AG71" i="17"/>
  <c r="AM71" i="17"/>
  <c r="AG72" i="17"/>
  <c r="AM72" i="17"/>
  <c r="AG73" i="17"/>
  <c r="AM73" i="17"/>
  <c r="AG74" i="17"/>
  <c r="AM74" i="17"/>
  <c r="AG75" i="17"/>
  <c r="AM75" i="17"/>
  <c r="AM76" i="17"/>
  <c r="AG76" i="17"/>
  <c r="H3" i="16"/>
  <c r="H7" i="16"/>
  <c r="AR7" i="17"/>
  <c r="I7" i="16"/>
  <c r="J7" i="16"/>
  <c r="S7" i="5"/>
  <c r="H8" i="17"/>
  <c r="D8" i="16"/>
  <c r="E8" i="16"/>
  <c r="AO8" i="17"/>
  <c r="G8" i="16"/>
  <c r="H8" i="16"/>
  <c r="AR8" i="17"/>
  <c r="I8" i="16"/>
  <c r="J8" i="16"/>
  <c r="S8" i="5"/>
  <c r="H9" i="17"/>
  <c r="D9" i="16"/>
  <c r="E9" i="16"/>
  <c r="AO9" i="17"/>
  <c r="G9" i="16"/>
  <c r="H9" i="16"/>
  <c r="AR9" i="17"/>
  <c r="I9" i="16"/>
  <c r="J9" i="16"/>
  <c r="S9" i="5"/>
  <c r="H10" i="17"/>
  <c r="D10" i="16"/>
  <c r="E10" i="16"/>
  <c r="AO10" i="17"/>
  <c r="G10" i="16"/>
  <c r="H10" i="16"/>
  <c r="AR10" i="17"/>
  <c r="I10" i="16"/>
  <c r="J10" i="16"/>
  <c r="S10" i="5"/>
  <c r="H11" i="17"/>
  <c r="D11" i="16"/>
  <c r="E11" i="16"/>
  <c r="AO11" i="17"/>
  <c r="G11" i="16"/>
  <c r="H11" i="16"/>
  <c r="AR11" i="17"/>
  <c r="I11" i="16"/>
  <c r="J11" i="16"/>
  <c r="S11" i="5"/>
  <c r="H12" i="17"/>
  <c r="D12" i="16"/>
  <c r="E12" i="16"/>
  <c r="AO12" i="17"/>
  <c r="G12" i="16"/>
  <c r="H12" i="16"/>
  <c r="AR12" i="17"/>
  <c r="I12" i="16"/>
  <c r="J12" i="16"/>
  <c r="S12" i="5"/>
  <c r="H13" i="17"/>
  <c r="D13" i="16"/>
  <c r="E13" i="16"/>
  <c r="AO13" i="17"/>
  <c r="G13" i="16"/>
  <c r="H13" i="16"/>
  <c r="AR13" i="17"/>
  <c r="I13" i="16"/>
  <c r="J13" i="16"/>
  <c r="S13" i="5"/>
  <c r="H14" i="17"/>
  <c r="D14" i="16"/>
  <c r="E14" i="16"/>
  <c r="AO14" i="17"/>
  <c r="G14" i="16"/>
  <c r="H14" i="16"/>
  <c r="AR14" i="17"/>
  <c r="I14" i="16"/>
  <c r="J14" i="16"/>
  <c r="S14" i="5"/>
  <c r="H15" i="17"/>
  <c r="D15" i="16"/>
  <c r="E15" i="16"/>
  <c r="AO15" i="17"/>
  <c r="G15" i="16"/>
  <c r="H15" i="16"/>
  <c r="AR15" i="17"/>
  <c r="I15" i="16"/>
  <c r="J15" i="16"/>
  <c r="S15" i="5"/>
  <c r="H16" i="17"/>
  <c r="D16" i="16"/>
  <c r="E16" i="16"/>
  <c r="AO16" i="17"/>
  <c r="G16" i="16"/>
  <c r="H16" i="16"/>
  <c r="AR16" i="17"/>
  <c r="I16" i="16"/>
  <c r="J16" i="16"/>
  <c r="S16" i="5"/>
  <c r="H17" i="17"/>
  <c r="D17" i="16"/>
  <c r="E17" i="16"/>
  <c r="AO17" i="17"/>
  <c r="G17" i="16"/>
  <c r="H17" i="16"/>
  <c r="AR17" i="17"/>
  <c r="I17" i="16"/>
  <c r="J17" i="16"/>
  <c r="S17" i="5"/>
  <c r="H18" i="17"/>
  <c r="D18" i="16"/>
  <c r="E18" i="16"/>
  <c r="AO18" i="17"/>
  <c r="G18" i="16"/>
  <c r="H18" i="16"/>
  <c r="AR18" i="17"/>
  <c r="I18" i="16"/>
  <c r="J18" i="16"/>
  <c r="S18" i="5"/>
  <c r="H19" i="17"/>
  <c r="D19" i="16"/>
  <c r="E19" i="16"/>
  <c r="AO19" i="17"/>
  <c r="G19" i="16"/>
  <c r="H19" i="16"/>
  <c r="AR19" i="17"/>
  <c r="I19" i="16"/>
  <c r="J19" i="16"/>
  <c r="S19" i="5"/>
  <c r="H20" i="17"/>
  <c r="D20" i="16"/>
  <c r="E20" i="16"/>
  <c r="AO20" i="17"/>
  <c r="G20" i="16"/>
  <c r="H20" i="16"/>
  <c r="AR20" i="17"/>
  <c r="I20" i="16"/>
  <c r="J20" i="16"/>
  <c r="S20" i="5"/>
  <c r="H21" i="17"/>
  <c r="D21" i="16"/>
  <c r="E21" i="16"/>
  <c r="AO21" i="17"/>
  <c r="G21" i="16"/>
  <c r="H21" i="16"/>
  <c r="AR21" i="17"/>
  <c r="I21" i="16"/>
  <c r="J21" i="16"/>
  <c r="S21" i="5"/>
  <c r="H22" i="17"/>
  <c r="D22" i="16"/>
  <c r="E22" i="16"/>
  <c r="AO22" i="17"/>
  <c r="G22" i="16"/>
  <c r="H22" i="16"/>
  <c r="AR22" i="17"/>
  <c r="I22" i="16"/>
  <c r="J22" i="16"/>
  <c r="S22" i="5"/>
  <c r="H23" i="17"/>
  <c r="D23" i="16"/>
  <c r="E23" i="16"/>
  <c r="AO23" i="17"/>
  <c r="G23" i="16"/>
  <c r="H23" i="16"/>
  <c r="AR23" i="17"/>
  <c r="I23" i="16"/>
  <c r="J23" i="16"/>
  <c r="S23" i="5"/>
  <c r="H24" i="17"/>
  <c r="D24" i="16"/>
  <c r="E24" i="16"/>
  <c r="AO24" i="17"/>
  <c r="G24" i="16"/>
  <c r="H24" i="16"/>
  <c r="AR24" i="17"/>
  <c r="I24" i="16"/>
  <c r="J24" i="16"/>
  <c r="S24" i="5"/>
  <c r="H25" i="17"/>
  <c r="D25" i="16"/>
  <c r="E25" i="16"/>
  <c r="AO25" i="17"/>
  <c r="G25" i="16"/>
  <c r="H25" i="16"/>
  <c r="AR25" i="17"/>
  <c r="I25" i="16"/>
  <c r="J25" i="16"/>
  <c r="S25" i="5"/>
  <c r="H26" i="17"/>
  <c r="D26" i="16"/>
  <c r="E26" i="16"/>
  <c r="AO26" i="17"/>
  <c r="G26" i="16"/>
  <c r="H26" i="16"/>
  <c r="AR26" i="17"/>
  <c r="I26" i="16"/>
  <c r="J26" i="16"/>
  <c r="S26" i="5"/>
  <c r="H27" i="17"/>
  <c r="D27" i="16"/>
  <c r="E27" i="16"/>
  <c r="AO27" i="17"/>
  <c r="G27" i="16"/>
  <c r="H27" i="16"/>
  <c r="AR27" i="17"/>
  <c r="I27" i="16"/>
  <c r="J27" i="16"/>
  <c r="S27" i="5"/>
  <c r="H28" i="17"/>
  <c r="D28" i="16"/>
  <c r="E28" i="16"/>
  <c r="AO28" i="17"/>
  <c r="G28" i="16"/>
  <c r="H28" i="16"/>
  <c r="AR28" i="17"/>
  <c r="I28" i="16"/>
  <c r="J28" i="16"/>
  <c r="S28" i="5"/>
  <c r="H29" i="17"/>
  <c r="D29" i="16"/>
  <c r="E29" i="16"/>
  <c r="AO29" i="17"/>
  <c r="G29" i="16"/>
  <c r="H29" i="16"/>
  <c r="AR29" i="17"/>
  <c r="I29" i="16"/>
  <c r="J29" i="16"/>
  <c r="S29" i="5"/>
  <c r="H30" i="17"/>
  <c r="D30" i="16"/>
  <c r="E30" i="16"/>
  <c r="AO30" i="17"/>
  <c r="G30" i="16"/>
  <c r="H30" i="16"/>
  <c r="AR30" i="17"/>
  <c r="I30" i="16"/>
  <c r="J30" i="16"/>
  <c r="S30" i="5"/>
  <c r="H31" i="17"/>
  <c r="D31" i="16"/>
  <c r="E31" i="16"/>
  <c r="AO31" i="17"/>
  <c r="G31" i="16"/>
  <c r="H31" i="16"/>
  <c r="AR31" i="17"/>
  <c r="I31" i="16"/>
  <c r="J31" i="16"/>
  <c r="S31" i="5"/>
  <c r="H32" i="17"/>
  <c r="D32" i="16"/>
  <c r="E32" i="16"/>
  <c r="AO32" i="17"/>
  <c r="G32" i="16"/>
  <c r="H32" i="16"/>
  <c r="AR32" i="17"/>
  <c r="I32" i="16"/>
  <c r="J32" i="16"/>
  <c r="S32" i="5"/>
  <c r="H33" i="17"/>
  <c r="D33" i="16"/>
  <c r="E33" i="16"/>
  <c r="AO33" i="17"/>
  <c r="G33" i="16"/>
  <c r="H33" i="16"/>
  <c r="AR33" i="17"/>
  <c r="I33" i="16"/>
  <c r="J33" i="16"/>
  <c r="S33" i="5"/>
  <c r="H34" i="17"/>
  <c r="D34" i="16"/>
  <c r="E34" i="16"/>
  <c r="AO34" i="17"/>
  <c r="G34" i="16"/>
  <c r="H34" i="16"/>
  <c r="AR34" i="17"/>
  <c r="I34" i="16"/>
  <c r="J34" i="16"/>
  <c r="S34" i="5"/>
  <c r="H35" i="17"/>
  <c r="D35" i="16"/>
  <c r="E35" i="16"/>
  <c r="AO35" i="17"/>
  <c r="G35" i="16"/>
  <c r="H35" i="16"/>
  <c r="AR35" i="17"/>
  <c r="I35" i="16"/>
  <c r="J35" i="16"/>
  <c r="S35" i="5"/>
  <c r="H36" i="17"/>
  <c r="D36" i="16"/>
  <c r="E36" i="16"/>
  <c r="AO36" i="17"/>
  <c r="G36" i="16"/>
  <c r="H36" i="16"/>
  <c r="AR36" i="17"/>
  <c r="I36" i="16"/>
  <c r="J36" i="16"/>
  <c r="S36" i="5"/>
  <c r="H37" i="17"/>
  <c r="D37" i="16"/>
  <c r="E37" i="16"/>
  <c r="AO37" i="17"/>
  <c r="G37" i="16"/>
  <c r="H37" i="16"/>
  <c r="AR37" i="17"/>
  <c r="I37" i="16"/>
  <c r="J37" i="16"/>
  <c r="S37" i="5"/>
  <c r="H38" i="17"/>
  <c r="D38" i="16"/>
  <c r="E38" i="16"/>
  <c r="AO38" i="17"/>
  <c r="G38" i="16"/>
  <c r="H38" i="16"/>
  <c r="AR38" i="17"/>
  <c r="I38" i="16"/>
  <c r="J38" i="16"/>
  <c r="S38" i="5"/>
  <c r="H39" i="17"/>
  <c r="D39" i="16"/>
  <c r="E39" i="16"/>
  <c r="AO39" i="17"/>
  <c r="G39" i="16"/>
  <c r="H39" i="16"/>
  <c r="AR39" i="17"/>
  <c r="I39" i="16"/>
  <c r="J39" i="16"/>
  <c r="S39" i="5"/>
  <c r="H40" i="17"/>
  <c r="D40" i="16"/>
  <c r="E40" i="16"/>
  <c r="AO40" i="17"/>
  <c r="G40" i="16"/>
  <c r="H40" i="16"/>
  <c r="AR40" i="17"/>
  <c r="I40" i="16"/>
  <c r="J40" i="16"/>
  <c r="S40" i="5"/>
  <c r="H41" i="17"/>
  <c r="D41" i="16"/>
  <c r="E41" i="16"/>
  <c r="AO41" i="17"/>
  <c r="G41" i="16"/>
  <c r="H41" i="16"/>
  <c r="AR41" i="17"/>
  <c r="I41" i="16"/>
  <c r="J41" i="16"/>
  <c r="S41" i="5"/>
  <c r="H42" i="17"/>
  <c r="D42" i="16"/>
  <c r="E42" i="16"/>
  <c r="AO42" i="17"/>
  <c r="G42" i="16"/>
  <c r="H42" i="16"/>
  <c r="AR42" i="17"/>
  <c r="I42" i="16"/>
  <c r="J42" i="16"/>
  <c r="S42" i="5"/>
  <c r="H43" i="17"/>
  <c r="D43" i="16"/>
  <c r="E43" i="16"/>
  <c r="AO43" i="17"/>
  <c r="G43" i="16"/>
  <c r="H43" i="16"/>
  <c r="AR43" i="17"/>
  <c r="I43" i="16"/>
  <c r="J43" i="16"/>
  <c r="S43" i="5"/>
  <c r="H44" i="17"/>
  <c r="D44" i="16"/>
  <c r="E44" i="16"/>
  <c r="AO44" i="17"/>
  <c r="G44" i="16"/>
  <c r="H44" i="16"/>
  <c r="AR44" i="17"/>
  <c r="I44" i="16"/>
  <c r="J44" i="16"/>
  <c r="S44" i="5"/>
  <c r="H45" i="17"/>
  <c r="D45" i="16"/>
  <c r="E45" i="16"/>
  <c r="AO45" i="17"/>
  <c r="G45" i="16"/>
  <c r="H45" i="16"/>
  <c r="AR45" i="17"/>
  <c r="I45" i="16"/>
  <c r="J45" i="16"/>
  <c r="S45" i="5"/>
  <c r="H46" i="17"/>
  <c r="D46" i="16"/>
  <c r="E46" i="16"/>
  <c r="AO46" i="17"/>
  <c r="G46" i="16"/>
  <c r="H46" i="16"/>
  <c r="AR46" i="17"/>
  <c r="I46" i="16"/>
  <c r="J46" i="16"/>
  <c r="S46" i="5"/>
  <c r="H47" i="17"/>
  <c r="D47" i="16"/>
  <c r="E47" i="16"/>
  <c r="AO47" i="17"/>
  <c r="G47" i="16"/>
  <c r="H47" i="16"/>
  <c r="AR47" i="17"/>
  <c r="I47" i="16"/>
  <c r="J47" i="16"/>
  <c r="S47" i="5"/>
  <c r="H48" i="17"/>
  <c r="D48" i="16"/>
  <c r="E48" i="16"/>
  <c r="AO48" i="17"/>
  <c r="G48" i="16"/>
  <c r="H48" i="16"/>
  <c r="AR48" i="17"/>
  <c r="I48" i="16"/>
  <c r="J48" i="16"/>
  <c r="S48" i="5"/>
  <c r="H49" i="17"/>
  <c r="D49" i="16"/>
  <c r="E49" i="16"/>
  <c r="AO49" i="17"/>
  <c r="G49" i="16"/>
  <c r="H49" i="16"/>
  <c r="AR49" i="17"/>
  <c r="I49" i="16"/>
  <c r="J49" i="16"/>
  <c r="S49" i="5"/>
  <c r="H50" i="17"/>
  <c r="D50" i="16"/>
  <c r="E50" i="16"/>
  <c r="AO50" i="17"/>
  <c r="G50" i="16"/>
  <c r="H50" i="16"/>
  <c r="AR50" i="17"/>
  <c r="I50" i="16"/>
  <c r="J50" i="16"/>
  <c r="S50" i="5"/>
  <c r="H51" i="17"/>
  <c r="D51" i="16"/>
  <c r="E51" i="16"/>
  <c r="AO51" i="17"/>
  <c r="G51" i="16"/>
  <c r="H51" i="16"/>
  <c r="AR51" i="17"/>
  <c r="I51" i="16"/>
  <c r="J51" i="16"/>
  <c r="S51" i="5"/>
  <c r="H52" i="17"/>
  <c r="D52" i="16"/>
  <c r="E52" i="16"/>
  <c r="AO52" i="17"/>
  <c r="G52" i="16"/>
  <c r="H52" i="16"/>
  <c r="AR52" i="17"/>
  <c r="I52" i="16"/>
  <c r="J52" i="16"/>
  <c r="S52" i="5"/>
  <c r="H53" i="17"/>
  <c r="D53" i="16"/>
  <c r="E53" i="16"/>
  <c r="AO53" i="17"/>
  <c r="G53" i="16"/>
  <c r="H53" i="16"/>
  <c r="AR53" i="17"/>
  <c r="I53" i="16"/>
  <c r="J53" i="16"/>
  <c r="S53" i="5"/>
  <c r="H54" i="17"/>
  <c r="D54" i="16"/>
  <c r="E54" i="16"/>
  <c r="AO54" i="17"/>
  <c r="G54" i="16"/>
  <c r="H54" i="16"/>
  <c r="AR54" i="17"/>
  <c r="I54" i="16"/>
  <c r="J54" i="16"/>
  <c r="S54" i="5"/>
  <c r="H55" i="17"/>
  <c r="D55" i="16"/>
  <c r="E55" i="16"/>
  <c r="AO55" i="17"/>
  <c r="G55" i="16"/>
  <c r="H55" i="16"/>
  <c r="AR55" i="17"/>
  <c r="I55" i="16"/>
  <c r="J55" i="16"/>
  <c r="S55" i="5"/>
  <c r="H56" i="17"/>
  <c r="D56" i="16"/>
  <c r="E56" i="16"/>
  <c r="AO56" i="17"/>
  <c r="G56" i="16"/>
  <c r="H56" i="16"/>
  <c r="AR56" i="17"/>
  <c r="I56" i="16"/>
  <c r="J56" i="16"/>
  <c r="S56" i="5"/>
  <c r="H57" i="17"/>
  <c r="D57" i="16"/>
  <c r="E57" i="16"/>
  <c r="AO57" i="17"/>
  <c r="G57" i="16"/>
  <c r="H57" i="16"/>
  <c r="AR57" i="17"/>
  <c r="I57" i="16"/>
  <c r="J57" i="16"/>
  <c r="S57" i="5"/>
  <c r="H58" i="17"/>
  <c r="D58" i="16"/>
  <c r="E58" i="16"/>
  <c r="AO58" i="17"/>
  <c r="G58" i="16"/>
  <c r="H58" i="16"/>
  <c r="AR58" i="17"/>
  <c r="I58" i="16"/>
  <c r="J58" i="16"/>
  <c r="S58" i="5"/>
  <c r="H59" i="17"/>
  <c r="D59" i="16"/>
  <c r="E59" i="16"/>
  <c r="AO59" i="17"/>
  <c r="G59" i="16"/>
  <c r="H59" i="16"/>
  <c r="AR59" i="17"/>
  <c r="I59" i="16"/>
  <c r="J59" i="16"/>
  <c r="S59" i="5"/>
  <c r="H60" i="17"/>
  <c r="D60" i="16"/>
  <c r="E60" i="16"/>
  <c r="AO60" i="17"/>
  <c r="G60" i="16"/>
  <c r="H60" i="16"/>
  <c r="AR60" i="17"/>
  <c r="I60" i="16"/>
  <c r="J60" i="16"/>
  <c r="S60" i="5"/>
  <c r="H61" i="17"/>
  <c r="D61" i="16"/>
  <c r="E61" i="16"/>
  <c r="AO61" i="17"/>
  <c r="G61" i="16"/>
  <c r="H61" i="16"/>
  <c r="AR61" i="17"/>
  <c r="I61" i="16"/>
  <c r="J61" i="16"/>
  <c r="S61" i="5"/>
  <c r="H62" i="17"/>
  <c r="D62" i="16"/>
  <c r="E62" i="16"/>
  <c r="AO62" i="17"/>
  <c r="G62" i="16"/>
  <c r="H62" i="16"/>
  <c r="AR62" i="17"/>
  <c r="I62" i="16"/>
  <c r="J62" i="16"/>
  <c r="S62" i="5"/>
  <c r="H63" i="17"/>
  <c r="D63" i="16"/>
  <c r="E63" i="16"/>
  <c r="AO63" i="17"/>
  <c r="G63" i="16"/>
  <c r="H63" i="16"/>
  <c r="AR63" i="17"/>
  <c r="I63" i="16"/>
  <c r="J63" i="16"/>
  <c r="S63" i="5"/>
  <c r="H64" i="17"/>
  <c r="D64" i="16"/>
  <c r="E64" i="16"/>
  <c r="AO64" i="17"/>
  <c r="G64" i="16"/>
  <c r="H64" i="16"/>
  <c r="AR64" i="17"/>
  <c r="I64" i="16"/>
  <c r="J64" i="16"/>
  <c r="S64" i="5"/>
  <c r="H65" i="17"/>
  <c r="D65" i="16"/>
  <c r="E65" i="16"/>
  <c r="AO65" i="17"/>
  <c r="G65" i="16"/>
  <c r="H65" i="16"/>
  <c r="AR65" i="17"/>
  <c r="I65" i="16"/>
  <c r="J65" i="16"/>
  <c r="S65" i="5"/>
  <c r="H66" i="17"/>
  <c r="D66" i="16"/>
  <c r="E66" i="16"/>
  <c r="AO66" i="17"/>
  <c r="G66" i="16"/>
  <c r="H66" i="16"/>
  <c r="AR66" i="17"/>
  <c r="I66" i="16"/>
  <c r="J66" i="16"/>
  <c r="S66" i="5"/>
  <c r="H67" i="17"/>
  <c r="D67" i="16"/>
  <c r="E67" i="16"/>
  <c r="AO67" i="17"/>
  <c r="G67" i="16"/>
  <c r="H67" i="16"/>
  <c r="AR67" i="17"/>
  <c r="I67" i="16"/>
  <c r="J67" i="16"/>
  <c r="S67" i="5"/>
  <c r="H68" i="17"/>
  <c r="D68" i="16"/>
  <c r="E68" i="16"/>
  <c r="AO68" i="17"/>
  <c r="G68" i="16"/>
  <c r="H68" i="16"/>
  <c r="AR68" i="17"/>
  <c r="I68" i="16"/>
  <c r="J68" i="16"/>
  <c r="S68" i="5"/>
  <c r="H69" i="17"/>
  <c r="D69" i="16"/>
  <c r="E69" i="16"/>
  <c r="AO69" i="17"/>
  <c r="G69" i="16"/>
  <c r="H69" i="16"/>
  <c r="AR69" i="17"/>
  <c r="I69" i="16"/>
  <c r="J69" i="16"/>
  <c r="S69" i="5"/>
  <c r="H70" i="17"/>
  <c r="D70" i="16"/>
  <c r="E70" i="16"/>
  <c r="AO70" i="17"/>
  <c r="G70" i="16"/>
  <c r="H70" i="16"/>
  <c r="AR70" i="17"/>
  <c r="I70" i="16"/>
  <c r="J70" i="16"/>
  <c r="S70" i="5"/>
  <c r="H71" i="17"/>
  <c r="D71" i="16"/>
  <c r="E71" i="16"/>
  <c r="AO71" i="17"/>
  <c r="G71" i="16"/>
  <c r="H71" i="16"/>
  <c r="AR71" i="17"/>
  <c r="I71" i="16"/>
  <c r="J71" i="16"/>
  <c r="S71" i="5"/>
  <c r="H72" i="17"/>
  <c r="D72" i="16"/>
  <c r="E72" i="16"/>
  <c r="AO72" i="17"/>
  <c r="G72" i="16"/>
  <c r="H72" i="16"/>
  <c r="AR72" i="17"/>
  <c r="I72" i="16"/>
  <c r="J72" i="16"/>
  <c r="S72" i="5"/>
  <c r="H73" i="17"/>
  <c r="D73" i="16"/>
  <c r="E73" i="16"/>
  <c r="AO73" i="17"/>
  <c r="G73" i="16"/>
  <c r="H73" i="16"/>
  <c r="AR73" i="17"/>
  <c r="I73" i="16"/>
  <c r="J73" i="16"/>
  <c r="S73" i="5"/>
  <c r="H74" i="17"/>
  <c r="D74" i="16"/>
  <c r="E74" i="16"/>
  <c r="AO74" i="17"/>
  <c r="G74" i="16"/>
  <c r="H74" i="16"/>
  <c r="AR74" i="17"/>
  <c r="I74" i="16"/>
  <c r="J74" i="16"/>
  <c r="S74" i="5"/>
  <c r="H75" i="17"/>
  <c r="D75" i="16"/>
  <c r="E75" i="16"/>
  <c r="AO75" i="17"/>
  <c r="G75" i="16"/>
  <c r="H75" i="16"/>
  <c r="AR75" i="17"/>
  <c r="I75" i="16"/>
  <c r="J75" i="16"/>
  <c r="S75" i="5"/>
  <c r="S7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V76" i="5"/>
  <c r="W76" i="5"/>
  <c r="X76" i="5"/>
  <c r="AS7" i="17"/>
  <c r="Y7" i="5"/>
  <c r="AS8" i="17"/>
  <c r="Y8" i="5"/>
  <c r="AS9" i="17"/>
  <c r="Y9" i="5"/>
  <c r="AS10" i="17"/>
  <c r="Y10" i="5"/>
  <c r="AS11" i="17"/>
  <c r="Y11" i="5"/>
  <c r="AS12" i="17"/>
  <c r="Y12" i="5"/>
  <c r="AS13" i="17"/>
  <c r="Y13" i="5"/>
  <c r="AS14" i="17"/>
  <c r="Y14" i="5"/>
  <c r="AS15" i="17"/>
  <c r="Y15" i="5"/>
  <c r="AS16" i="17"/>
  <c r="Y16" i="5"/>
  <c r="AS17" i="17"/>
  <c r="Y17" i="5"/>
  <c r="AS18" i="17"/>
  <c r="Y18" i="5"/>
  <c r="AS19" i="17"/>
  <c r="Y19" i="5"/>
  <c r="AS20" i="17"/>
  <c r="Y20" i="5"/>
  <c r="AS21" i="17"/>
  <c r="Y21" i="5"/>
  <c r="AS22" i="17"/>
  <c r="Y22" i="5"/>
  <c r="AS23" i="17"/>
  <c r="Y23" i="5"/>
  <c r="AS24" i="17"/>
  <c r="Y24" i="5"/>
  <c r="AS25" i="17"/>
  <c r="Y25" i="5"/>
  <c r="AS26" i="17"/>
  <c r="Y26" i="5"/>
  <c r="AS27" i="17"/>
  <c r="Y27" i="5"/>
  <c r="AS28" i="17"/>
  <c r="Y28" i="5"/>
  <c r="AS29" i="17"/>
  <c r="Y29" i="5"/>
  <c r="AS30" i="17"/>
  <c r="Y30" i="5"/>
  <c r="AS31" i="17"/>
  <c r="Y31" i="5"/>
  <c r="AS32" i="17"/>
  <c r="Y32" i="5"/>
  <c r="AS33" i="17"/>
  <c r="Y33" i="5"/>
  <c r="AS34" i="17"/>
  <c r="Y34" i="5"/>
  <c r="AS35" i="17"/>
  <c r="Y35" i="5"/>
  <c r="AS36" i="17"/>
  <c r="Y36" i="5"/>
  <c r="AS37" i="17"/>
  <c r="Y37" i="5"/>
  <c r="AS38" i="17"/>
  <c r="Y38" i="5"/>
  <c r="AS39" i="17"/>
  <c r="Y39" i="5"/>
  <c r="AS40" i="17"/>
  <c r="Y40" i="5"/>
  <c r="AS41" i="17"/>
  <c r="Y41" i="5"/>
  <c r="AS42" i="17"/>
  <c r="Y42" i="5"/>
  <c r="AS43" i="17"/>
  <c r="Y43" i="5"/>
  <c r="AS44" i="17"/>
  <c r="Y44" i="5"/>
  <c r="AS45" i="17"/>
  <c r="Y45" i="5"/>
  <c r="AS46" i="17"/>
  <c r="Y46" i="5"/>
  <c r="AS47" i="17"/>
  <c r="Y47" i="5"/>
  <c r="AS48" i="17"/>
  <c r="Y48" i="5"/>
  <c r="AS49" i="17"/>
  <c r="Y49" i="5"/>
  <c r="AS50" i="17"/>
  <c r="Y50" i="5"/>
  <c r="AS51" i="17"/>
  <c r="Y51" i="5"/>
  <c r="AS52" i="17"/>
  <c r="Y52" i="5"/>
  <c r="AS53" i="17"/>
  <c r="Y53" i="5"/>
  <c r="AS54" i="17"/>
  <c r="Y54" i="5"/>
  <c r="AS55" i="17"/>
  <c r="Y55" i="5"/>
  <c r="AS56" i="17"/>
  <c r="Y56" i="5"/>
  <c r="AS57" i="17"/>
  <c r="Y57" i="5"/>
  <c r="AS58" i="17"/>
  <c r="Y58" i="5"/>
  <c r="AS59" i="17"/>
  <c r="Y59" i="5"/>
  <c r="AS60" i="17"/>
  <c r="Y60" i="5"/>
  <c r="AS61" i="17"/>
  <c r="Y61" i="5"/>
  <c r="AS62" i="17"/>
  <c r="Y62" i="5"/>
  <c r="AS63" i="17"/>
  <c r="Y63" i="5"/>
  <c r="AS64" i="17"/>
  <c r="Y64" i="5"/>
  <c r="AS65" i="17"/>
  <c r="Y65" i="5"/>
  <c r="AS66" i="17"/>
  <c r="Y66" i="5"/>
  <c r="AS67" i="17"/>
  <c r="Y67" i="5"/>
  <c r="AS68" i="17"/>
  <c r="Y68" i="5"/>
  <c r="AS69" i="17"/>
  <c r="Y69" i="5"/>
  <c r="AS70" i="17"/>
  <c r="Y70" i="5"/>
  <c r="AS71" i="17"/>
  <c r="Y71" i="5"/>
  <c r="AS72" i="17"/>
  <c r="Y72" i="5"/>
  <c r="AS73" i="17"/>
  <c r="Y73" i="5"/>
  <c r="AS74" i="17"/>
  <c r="Y74" i="5"/>
  <c r="AS75" i="17"/>
  <c r="Y75" i="5"/>
  <c r="Y7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W7" i="5"/>
  <c r="AD7" i="5"/>
  <c r="W8" i="5"/>
  <c r="AD8" i="5"/>
  <c r="W9" i="5"/>
  <c r="AD9" i="5"/>
  <c r="W10" i="5"/>
  <c r="AD10" i="5"/>
  <c r="W11" i="5"/>
  <c r="AD11" i="5"/>
  <c r="W12" i="5"/>
  <c r="AD12" i="5"/>
  <c r="W13" i="5"/>
  <c r="AD13" i="5"/>
  <c r="W14" i="5"/>
  <c r="AD14" i="5"/>
  <c r="W15" i="5"/>
  <c r="AD15" i="5"/>
  <c r="W16" i="5"/>
  <c r="AD16" i="5"/>
  <c r="W17" i="5"/>
  <c r="AD17" i="5"/>
  <c r="W18" i="5"/>
  <c r="AD18" i="5"/>
  <c r="W19" i="5"/>
  <c r="AD19" i="5"/>
  <c r="W20" i="5"/>
  <c r="AD20" i="5"/>
  <c r="W21" i="5"/>
  <c r="AD21" i="5"/>
  <c r="W22" i="5"/>
  <c r="AD22" i="5"/>
  <c r="W23" i="5"/>
  <c r="AD23" i="5"/>
  <c r="W24" i="5"/>
  <c r="AD24" i="5"/>
  <c r="W25" i="5"/>
  <c r="AD25" i="5"/>
  <c r="W26" i="5"/>
  <c r="AD26" i="5"/>
  <c r="W27" i="5"/>
  <c r="AD27" i="5"/>
  <c r="W28" i="5"/>
  <c r="AD28" i="5"/>
  <c r="W29" i="5"/>
  <c r="AD29" i="5"/>
  <c r="W30" i="5"/>
  <c r="AD30" i="5"/>
  <c r="W31" i="5"/>
  <c r="AD31" i="5"/>
  <c r="W32" i="5"/>
  <c r="AD32" i="5"/>
  <c r="W33" i="5"/>
  <c r="AD33" i="5"/>
  <c r="W34" i="5"/>
  <c r="AD34" i="5"/>
  <c r="W35" i="5"/>
  <c r="AD35" i="5"/>
  <c r="W36" i="5"/>
  <c r="AD36" i="5"/>
  <c r="W37" i="5"/>
  <c r="AD37" i="5"/>
  <c r="W38" i="5"/>
  <c r="AD38" i="5"/>
  <c r="W39" i="5"/>
  <c r="AD39" i="5"/>
  <c r="W40" i="5"/>
  <c r="AD40" i="5"/>
  <c r="W41" i="5"/>
  <c r="AD41" i="5"/>
  <c r="W42" i="5"/>
  <c r="AD42" i="5"/>
  <c r="W43" i="5"/>
  <c r="AD43" i="5"/>
  <c r="W44" i="5"/>
  <c r="AD44" i="5"/>
  <c r="W45" i="5"/>
  <c r="AD45" i="5"/>
  <c r="W46" i="5"/>
  <c r="AD46" i="5"/>
  <c r="W47" i="5"/>
  <c r="AD47" i="5"/>
  <c r="W48" i="5"/>
  <c r="AD48" i="5"/>
  <c r="W49" i="5"/>
  <c r="AD49" i="5"/>
  <c r="W50" i="5"/>
  <c r="AD50" i="5"/>
  <c r="W51" i="5"/>
  <c r="AD51" i="5"/>
  <c r="W52" i="5"/>
  <c r="AD52" i="5"/>
  <c r="W53" i="5"/>
  <c r="AD53" i="5"/>
  <c r="W54" i="5"/>
  <c r="AD54" i="5"/>
  <c r="W55" i="5"/>
  <c r="AD55" i="5"/>
  <c r="W56" i="5"/>
  <c r="AD56" i="5"/>
  <c r="W57" i="5"/>
  <c r="AD57" i="5"/>
  <c r="W58" i="5"/>
  <c r="AD58" i="5"/>
  <c r="W59" i="5"/>
  <c r="AD59" i="5"/>
  <c r="W60" i="5"/>
  <c r="AD60" i="5"/>
  <c r="W61" i="5"/>
  <c r="AD61" i="5"/>
  <c r="W62" i="5"/>
  <c r="AD62" i="5"/>
  <c r="W63" i="5"/>
  <c r="AD63" i="5"/>
  <c r="W64" i="5"/>
  <c r="AD64" i="5"/>
  <c r="W65" i="5"/>
  <c r="AD65" i="5"/>
  <c r="W66" i="5"/>
  <c r="AD66" i="5"/>
  <c r="W67" i="5"/>
  <c r="AD67" i="5"/>
  <c r="W68" i="5"/>
  <c r="AD68" i="5"/>
  <c r="W69" i="5"/>
  <c r="AD69" i="5"/>
  <c r="W70" i="5"/>
  <c r="AD70" i="5"/>
  <c r="W71" i="5"/>
  <c r="AD71" i="5"/>
  <c r="W72" i="5"/>
  <c r="AD72" i="5"/>
  <c r="W73" i="5"/>
  <c r="AD73" i="5"/>
  <c r="W74" i="5"/>
  <c r="AD74" i="5"/>
  <c r="W75" i="5"/>
  <c r="AD75" i="5"/>
  <c r="AD7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F76" i="5"/>
  <c r="AG7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I76" i="5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2" i="6"/>
  <c r="F24" i="6"/>
  <c r="F25" i="6"/>
  <c r="F27" i="6"/>
  <c r="F28" i="6"/>
  <c r="F29" i="6"/>
  <c r="F31" i="6"/>
  <c r="F33" i="6"/>
  <c r="F34" i="6"/>
  <c r="F35" i="6"/>
  <c r="F36" i="6"/>
  <c r="F37" i="6"/>
  <c r="F38" i="6"/>
  <c r="F39" i="6"/>
  <c r="F40" i="6"/>
  <c r="F41" i="6"/>
  <c r="F42" i="6"/>
  <c r="F43" i="6"/>
  <c r="F45" i="6"/>
  <c r="F46" i="6"/>
  <c r="F47" i="6"/>
  <c r="F48" i="6"/>
  <c r="F49" i="6"/>
  <c r="F50" i="6"/>
  <c r="F52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70" i="6"/>
  <c r="F71" i="6"/>
  <c r="F72" i="6"/>
  <c r="F73" i="6"/>
  <c r="F74" i="6"/>
  <c r="F75" i="6"/>
  <c r="F76" i="6"/>
  <c r="G3" i="6"/>
  <c r="G7" i="6"/>
  <c r="H7" i="6"/>
  <c r="I7" i="6"/>
  <c r="J7" i="6"/>
  <c r="AJ7" i="5"/>
  <c r="G8" i="6"/>
  <c r="H8" i="6"/>
  <c r="I8" i="6"/>
  <c r="J8" i="6"/>
  <c r="AJ8" i="5"/>
  <c r="G9" i="6"/>
  <c r="H9" i="6"/>
  <c r="I9" i="6"/>
  <c r="J9" i="6"/>
  <c r="AJ9" i="5"/>
  <c r="G10" i="6"/>
  <c r="H10" i="6"/>
  <c r="I10" i="6"/>
  <c r="J10" i="6"/>
  <c r="AJ10" i="5"/>
  <c r="G11" i="6"/>
  <c r="H11" i="6"/>
  <c r="I11" i="6"/>
  <c r="J11" i="6"/>
  <c r="AJ11" i="5"/>
  <c r="G12" i="6"/>
  <c r="H12" i="6"/>
  <c r="I12" i="6"/>
  <c r="J12" i="6"/>
  <c r="AJ12" i="5"/>
  <c r="G13" i="6"/>
  <c r="H13" i="6"/>
  <c r="I13" i="6"/>
  <c r="J13" i="6"/>
  <c r="AJ13" i="5"/>
  <c r="G14" i="6"/>
  <c r="H14" i="6"/>
  <c r="I14" i="6"/>
  <c r="J14" i="6"/>
  <c r="AJ14" i="5"/>
  <c r="G15" i="6"/>
  <c r="H15" i="6"/>
  <c r="I15" i="6"/>
  <c r="J15" i="6"/>
  <c r="AJ15" i="5"/>
  <c r="G16" i="6"/>
  <c r="H16" i="6"/>
  <c r="I16" i="6"/>
  <c r="J16" i="6"/>
  <c r="AJ16" i="5"/>
  <c r="G17" i="6"/>
  <c r="H17" i="6"/>
  <c r="I17" i="6"/>
  <c r="J17" i="6"/>
  <c r="AJ17" i="5"/>
  <c r="G18" i="6"/>
  <c r="H18" i="6"/>
  <c r="I18" i="6"/>
  <c r="J18" i="6"/>
  <c r="AJ18" i="5"/>
  <c r="G19" i="6"/>
  <c r="H19" i="6"/>
  <c r="I19" i="6"/>
  <c r="J19" i="6"/>
  <c r="AJ19" i="5"/>
  <c r="G20" i="6"/>
  <c r="H20" i="6"/>
  <c r="I20" i="6"/>
  <c r="J20" i="6"/>
  <c r="AJ20" i="5"/>
  <c r="G21" i="6"/>
  <c r="H21" i="6"/>
  <c r="I21" i="6"/>
  <c r="J21" i="6"/>
  <c r="AJ21" i="5"/>
  <c r="G22" i="6"/>
  <c r="H22" i="6"/>
  <c r="I22" i="6"/>
  <c r="J22" i="6"/>
  <c r="AJ22" i="5"/>
  <c r="G23" i="6"/>
  <c r="H23" i="6"/>
  <c r="I23" i="6"/>
  <c r="J23" i="6"/>
  <c r="AJ23" i="5"/>
  <c r="G24" i="6"/>
  <c r="H24" i="6"/>
  <c r="I24" i="6"/>
  <c r="J24" i="6"/>
  <c r="AJ24" i="5"/>
  <c r="G25" i="6"/>
  <c r="H25" i="6"/>
  <c r="I25" i="6"/>
  <c r="J25" i="6"/>
  <c r="AJ25" i="5"/>
  <c r="G26" i="6"/>
  <c r="H26" i="6"/>
  <c r="I26" i="6"/>
  <c r="J26" i="6"/>
  <c r="AJ26" i="5"/>
  <c r="G27" i="6"/>
  <c r="H27" i="6"/>
  <c r="I27" i="6"/>
  <c r="J27" i="6"/>
  <c r="AJ27" i="5"/>
  <c r="G28" i="6"/>
  <c r="H28" i="6"/>
  <c r="I28" i="6"/>
  <c r="J28" i="6"/>
  <c r="AJ28" i="5"/>
  <c r="G29" i="6"/>
  <c r="H29" i="6"/>
  <c r="I29" i="6"/>
  <c r="J29" i="6"/>
  <c r="AJ29" i="5"/>
  <c r="G30" i="6"/>
  <c r="H30" i="6"/>
  <c r="I30" i="6"/>
  <c r="J30" i="6"/>
  <c r="AJ30" i="5"/>
  <c r="G31" i="6"/>
  <c r="H31" i="6"/>
  <c r="I31" i="6"/>
  <c r="J31" i="6"/>
  <c r="AJ31" i="5"/>
  <c r="G32" i="6"/>
  <c r="H32" i="6"/>
  <c r="I32" i="6"/>
  <c r="J32" i="6"/>
  <c r="AJ32" i="5"/>
  <c r="G33" i="6"/>
  <c r="H33" i="6"/>
  <c r="I33" i="6"/>
  <c r="J33" i="6"/>
  <c r="AJ33" i="5"/>
  <c r="G34" i="6"/>
  <c r="H34" i="6"/>
  <c r="I34" i="6"/>
  <c r="J34" i="6"/>
  <c r="AJ34" i="5"/>
  <c r="G35" i="6"/>
  <c r="H35" i="6"/>
  <c r="I35" i="6"/>
  <c r="J35" i="6"/>
  <c r="AJ35" i="5"/>
  <c r="G36" i="6"/>
  <c r="H36" i="6"/>
  <c r="I36" i="6"/>
  <c r="J36" i="6"/>
  <c r="AJ36" i="5"/>
  <c r="G37" i="6"/>
  <c r="H37" i="6"/>
  <c r="I37" i="6"/>
  <c r="J37" i="6"/>
  <c r="AJ37" i="5"/>
  <c r="G38" i="6"/>
  <c r="H38" i="6"/>
  <c r="I38" i="6"/>
  <c r="J38" i="6"/>
  <c r="AJ38" i="5"/>
  <c r="G39" i="6"/>
  <c r="H39" i="6"/>
  <c r="I39" i="6"/>
  <c r="J39" i="6"/>
  <c r="AJ39" i="5"/>
  <c r="G40" i="6"/>
  <c r="H40" i="6"/>
  <c r="I40" i="6"/>
  <c r="J40" i="6"/>
  <c r="AJ40" i="5"/>
  <c r="G41" i="6"/>
  <c r="H41" i="6"/>
  <c r="I41" i="6"/>
  <c r="J41" i="6"/>
  <c r="AJ41" i="5"/>
  <c r="G42" i="6"/>
  <c r="H42" i="6"/>
  <c r="I42" i="6"/>
  <c r="J42" i="6"/>
  <c r="AJ42" i="5"/>
  <c r="G43" i="6"/>
  <c r="H43" i="6"/>
  <c r="I43" i="6"/>
  <c r="J43" i="6"/>
  <c r="AJ43" i="5"/>
  <c r="G44" i="6"/>
  <c r="H44" i="6"/>
  <c r="I44" i="6"/>
  <c r="J44" i="6"/>
  <c r="AJ44" i="5"/>
  <c r="G45" i="6"/>
  <c r="H45" i="6"/>
  <c r="I45" i="6"/>
  <c r="J45" i="6"/>
  <c r="AJ45" i="5"/>
  <c r="G46" i="6"/>
  <c r="H46" i="6"/>
  <c r="I46" i="6"/>
  <c r="J46" i="6"/>
  <c r="AJ46" i="5"/>
  <c r="G47" i="6"/>
  <c r="H47" i="6"/>
  <c r="I47" i="6"/>
  <c r="J47" i="6"/>
  <c r="AJ47" i="5"/>
  <c r="G48" i="6"/>
  <c r="H48" i="6"/>
  <c r="I48" i="6"/>
  <c r="J48" i="6"/>
  <c r="AJ48" i="5"/>
  <c r="G49" i="6"/>
  <c r="H49" i="6"/>
  <c r="I49" i="6"/>
  <c r="J49" i="6"/>
  <c r="AJ49" i="5"/>
  <c r="G50" i="6"/>
  <c r="H50" i="6"/>
  <c r="I50" i="6"/>
  <c r="J50" i="6"/>
  <c r="AJ50" i="5"/>
  <c r="G51" i="6"/>
  <c r="H51" i="6"/>
  <c r="I51" i="6"/>
  <c r="J51" i="6"/>
  <c r="AJ51" i="5"/>
  <c r="G52" i="6"/>
  <c r="H52" i="6"/>
  <c r="I52" i="6"/>
  <c r="J52" i="6"/>
  <c r="AJ52" i="5"/>
  <c r="G53" i="6"/>
  <c r="H53" i="6"/>
  <c r="I53" i="6"/>
  <c r="J53" i="6"/>
  <c r="AJ53" i="5"/>
  <c r="G54" i="6"/>
  <c r="H54" i="6"/>
  <c r="I54" i="6"/>
  <c r="J54" i="6"/>
  <c r="AJ54" i="5"/>
  <c r="G55" i="6"/>
  <c r="H55" i="6"/>
  <c r="I55" i="6"/>
  <c r="J55" i="6"/>
  <c r="AJ55" i="5"/>
  <c r="G56" i="6"/>
  <c r="H56" i="6"/>
  <c r="I56" i="6"/>
  <c r="J56" i="6"/>
  <c r="AJ56" i="5"/>
  <c r="G57" i="6"/>
  <c r="H57" i="6"/>
  <c r="I57" i="6"/>
  <c r="J57" i="6"/>
  <c r="AJ57" i="5"/>
  <c r="G58" i="6"/>
  <c r="H58" i="6"/>
  <c r="I58" i="6"/>
  <c r="J58" i="6"/>
  <c r="AJ58" i="5"/>
  <c r="G59" i="6"/>
  <c r="H59" i="6"/>
  <c r="I59" i="6"/>
  <c r="J59" i="6"/>
  <c r="AJ59" i="5"/>
  <c r="G60" i="6"/>
  <c r="H60" i="6"/>
  <c r="I60" i="6"/>
  <c r="J60" i="6"/>
  <c r="AJ60" i="5"/>
  <c r="G61" i="6"/>
  <c r="H61" i="6"/>
  <c r="I61" i="6"/>
  <c r="J61" i="6"/>
  <c r="AJ61" i="5"/>
  <c r="G62" i="6"/>
  <c r="H62" i="6"/>
  <c r="I62" i="6"/>
  <c r="J62" i="6"/>
  <c r="AJ62" i="5"/>
  <c r="G63" i="6"/>
  <c r="H63" i="6"/>
  <c r="I63" i="6"/>
  <c r="J63" i="6"/>
  <c r="AJ63" i="5"/>
  <c r="G64" i="6"/>
  <c r="H64" i="6"/>
  <c r="I64" i="6"/>
  <c r="J64" i="6"/>
  <c r="AJ64" i="5"/>
  <c r="G65" i="6"/>
  <c r="H65" i="6"/>
  <c r="I65" i="6"/>
  <c r="J65" i="6"/>
  <c r="AJ65" i="5"/>
  <c r="G66" i="6"/>
  <c r="H66" i="6"/>
  <c r="I66" i="6"/>
  <c r="J66" i="6"/>
  <c r="AJ66" i="5"/>
  <c r="G67" i="6"/>
  <c r="H67" i="6"/>
  <c r="I67" i="6"/>
  <c r="J67" i="6"/>
  <c r="AJ67" i="5"/>
  <c r="G68" i="6"/>
  <c r="H68" i="6"/>
  <c r="I68" i="6"/>
  <c r="J68" i="6"/>
  <c r="AJ68" i="5"/>
  <c r="G69" i="6"/>
  <c r="H69" i="6"/>
  <c r="I69" i="6"/>
  <c r="J69" i="6"/>
  <c r="AJ69" i="5"/>
  <c r="G70" i="6"/>
  <c r="H70" i="6"/>
  <c r="I70" i="6"/>
  <c r="J70" i="6"/>
  <c r="AJ70" i="5"/>
  <c r="G71" i="6"/>
  <c r="H71" i="6"/>
  <c r="I71" i="6"/>
  <c r="J71" i="6"/>
  <c r="AJ71" i="5"/>
  <c r="G72" i="6"/>
  <c r="H72" i="6"/>
  <c r="I72" i="6"/>
  <c r="J72" i="6"/>
  <c r="AJ72" i="5"/>
  <c r="G73" i="6"/>
  <c r="H73" i="6"/>
  <c r="I73" i="6"/>
  <c r="J73" i="6"/>
  <c r="AJ73" i="5"/>
  <c r="G74" i="6"/>
  <c r="H74" i="6"/>
  <c r="I74" i="6"/>
  <c r="J74" i="6"/>
  <c r="AJ74" i="5"/>
  <c r="G75" i="6"/>
  <c r="H75" i="6"/>
  <c r="I75" i="6"/>
  <c r="J75" i="6"/>
  <c r="AJ75" i="5"/>
  <c r="AJ76" i="5"/>
  <c r="AK76" i="5"/>
  <c r="AL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M76" i="5"/>
  <c r="D7" i="6"/>
  <c r="K7" i="6"/>
  <c r="AN7" i="5"/>
  <c r="D8" i="6"/>
  <c r="K8" i="6"/>
  <c r="AN8" i="5"/>
  <c r="D9" i="6"/>
  <c r="K9" i="6"/>
  <c r="AN9" i="5"/>
  <c r="D10" i="6"/>
  <c r="K10" i="6"/>
  <c r="AN10" i="5"/>
  <c r="D11" i="6"/>
  <c r="K11" i="6"/>
  <c r="AN11" i="5"/>
  <c r="D12" i="6"/>
  <c r="K12" i="6"/>
  <c r="AN12" i="5"/>
  <c r="D13" i="6"/>
  <c r="K13" i="6"/>
  <c r="AN13" i="5"/>
  <c r="D14" i="6"/>
  <c r="K14" i="6"/>
  <c r="AN14" i="5"/>
  <c r="D15" i="6"/>
  <c r="K15" i="6"/>
  <c r="AN15" i="5"/>
  <c r="D16" i="6"/>
  <c r="K16" i="6"/>
  <c r="AN16" i="5"/>
  <c r="D17" i="6"/>
  <c r="K17" i="6"/>
  <c r="AN17" i="5"/>
  <c r="D18" i="6"/>
  <c r="K18" i="6"/>
  <c r="AN18" i="5"/>
  <c r="D19" i="6"/>
  <c r="K19" i="6"/>
  <c r="AN19" i="5"/>
  <c r="D20" i="6"/>
  <c r="K20" i="6"/>
  <c r="AN20" i="5"/>
  <c r="D21" i="6"/>
  <c r="K21" i="6"/>
  <c r="AN21" i="5"/>
  <c r="D22" i="6"/>
  <c r="K22" i="6"/>
  <c r="AN22" i="5"/>
  <c r="D23" i="6"/>
  <c r="K23" i="6"/>
  <c r="AN23" i="5"/>
  <c r="D24" i="6"/>
  <c r="K24" i="6"/>
  <c r="AN24" i="5"/>
  <c r="D25" i="6"/>
  <c r="K25" i="6"/>
  <c r="AN25" i="5"/>
  <c r="D26" i="6"/>
  <c r="K26" i="6"/>
  <c r="AN26" i="5"/>
  <c r="D27" i="6"/>
  <c r="K27" i="6"/>
  <c r="AN27" i="5"/>
  <c r="D28" i="6"/>
  <c r="K28" i="6"/>
  <c r="AN28" i="5"/>
  <c r="D29" i="6"/>
  <c r="K29" i="6"/>
  <c r="AN29" i="5"/>
  <c r="D30" i="6"/>
  <c r="K30" i="6"/>
  <c r="AN30" i="5"/>
  <c r="D31" i="6"/>
  <c r="K31" i="6"/>
  <c r="AN31" i="5"/>
  <c r="D32" i="6"/>
  <c r="K32" i="6"/>
  <c r="AN32" i="5"/>
  <c r="D33" i="6"/>
  <c r="K33" i="6"/>
  <c r="AN33" i="5"/>
  <c r="D34" i="6"/>
  <c r="K34" i="6"/>
  <c r="AN34" i="5"/>
  <c r="D35" i="6"/>
  <c r="K35" i="6"/>
  <c r="AN35" i="5"/>
  <c r="D36" i="6"/>
  <c r="K36" i="6"/>
  <c r="AN36" i="5"/>
  <c r="D37" i="6"/>
  <c r="K37" i="6"/>
  <c r="AN37" i="5"/>
  <c r="D38" i="6"/>
  <c r="K38" i="6"/>
  <c r="AN38" i="5"/>
  <c r="D39" i="6"/>
  <c r="K39" i="6"/>
  <c r="AN39" i="5"/>
  <c r="D40" i="6"/>
  <c r="K40" i="6"/>
  <c r="AN40" i="5"/>
  <c r="D41" i="6"/>
  <c r="K41" i="6"/>
  <c r="AN41" i="5"/>
  <c r="D42" i="6"/>
  <c r="K42" i="6"/>
  <c r="AN42" i="5"/>
  <c r="D43" i="6"/>
  <c r="K43" i="6"/>
  <c r="AN43" i="5"/>
  <c r="D44" i="6"/>
  <c r="K44" i="6"/>
  <c r="AN44" i="5"/>
  <c r="D45" i="6"/>
  <c r="K45" i="6"/>
  <c r="AN45" i="5"/>
  <c r="D46" i="6"/>
  <c r="K46" i="6"/>
  <c r="AN46" i="5"/>
  <c r="D47" i="6"/>
  <c r="K47" i="6"/>
  <c r="AN47" i="5"/>
  <c r="D48" i="6"/>
  <c r="K48" i="6"/>
  <c r="AN48" i="5"/>
  <c r="D49" i="6"/>
  <c r="K49" i="6"/>
  <c r="AN49" i="5"/>
  <c r="D50" i="6"/>
  <c r="K50" i="6"/>
  <c r="AN50" i="5"/>
  <c r="D51" i="6"/>
  <c r="K51" i="6"/>
  <c r="AN51" i="5"/>
  <c r="D52" i="6"/>
  <c r="K52" i="6"/>
  <c r="AN52" i="5"/>
  <c r="D53" i="6"/>
  <c r="K53" i="6"/>
  <c r="AN53" i="5"/>
  <c r="D54" i="6"/>
  <c r="K54" i="6"/>
  <c r="AN54" i="5"/>
  <c r="D55" i="6"/>
  <c r="K55" i="6"/>
  <c r="AN55" i="5"/>
  <c r="D56" i="6"/>
  <c r="K56" i="6"/>
  <c r="AN56" i="5"/>
  <c r="D57" i="6"/>
  <c r="K57" i="6"/>
  <c r="AN57" i="5"/>
  <c r="D58" i="6"/>
  <c r="K58" i="6"/>
  <c r="AN58" i="5"/>
  <c r="D59" i="6"/>
  <c r="K59" i="6"/>
  <c r="AN59" i="5"/>
  <c r="D60" i="6"/>
  <c r="K60" i="6"/>
  <c r="AN60" i="5"/>
  <c r="D61" i="6"/>
  <c r="K61" i="6"/>
  <c r="AN61" i="5"/>
  <c r="D62" i="6"/>
  <c r="K62" i="6"/>
  <c r="AN62" i="5"/>
  <c r="D63" i="6"/>
  <c r="K63" i="6"/>
  <c r="AN63" i="5"/>
  <c r="D64" i="6"/>
  <c r="K64" i="6"/>
  <c r="AN64" i="5"/>
  <c r="D65" i="6"/>
  <c r="K65" i="6"/>
  <c r="AN65" i="5"/>
  <c r="D66" i="6"/>
  <c r="K66" i="6"/>
  <c r="AN66" i="5"/>
  <c r="D67" i="6"/>
  <c r="K67" i="6"/>
  <c r="AN67" i="5"/>
  <c r="D68" i="6"/>
  <c r="K68" i="6"/>
  <c r="AN68" i="5"/>
  <c r="D69" i="6"/>
  <c r="K69" i="6"/>
  <c r="AN69" i="5"/>
  <c r="D70" i="6"/>
  <c r="K70" i="6"/>
  <c r="AN70" i="5"/>
  <c r="D71" i="6"/>
  <c r="K71" i="6"/>
  <c r="AN71" i="5"/>
  <c r="D72" i="6"/>
  <c r="K72" i="6"/>
  <c r="AN72" i="5"/>
  <c r="D73" i="6"/>
  <c r="K73" i="6"/>
  <c r="AN73" i="5"/>
  <c r="D74" i="6"/>
  <c r="K74" i="6"/>
  <c r="AN74" i="5"/>
  <c r="D75" i="6"/>
  <c r="K75" i="6"/>
  <c r="AN75" i="5"/>
  <c r="AN76" i="5"/>
  <c r="AO76" i="5"/>
  <c r="AP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Q76" i="5"/>
  <c r="AT7" i="5"/>
  <c r="AX7" i="5"/>
  <c r="AT8" i="5"/>
  <c r="AX8" i="5"/>
  <c r="AT9" i="5"/>
  <c r="AX9" i="5"/>
  <c r="AT10" i="5"/>
  <c r="AX10" i="5"/>
  <c r="AT11" i="5"/>
  <c r="AX11" i="5"/>
  <c r="AT12" i="5"/>
  <c r="AX12" i="5"/>
  <c r="AT13" i="5"/>
  <c r="AX13" i="5"/>
  <c r="AT14" i="5"/>
  <c r="AX14" i="5"/>
  <c r="AT15" i="5"/>
  <c r="AX15" i="5"/>
  <c r="AT16" i="5"/>
  <c r="AX16" i="5"/>
  <c r="AT17" i="5"/>
  <c r="AX17" i="5"/>
  <c r="AT18" i="5"/>
  <c r="AX18" i="5"/>
  <c r="AT19" i="5"/>
  <c r="AX19" i="5"/>
  <c r="AT20" i="5"/>
  <c r="AX20" i="5"/>
  <c r="AT21" i="5"/>
  <c r="AX21" i="5"/>
  <c r="AT22" i="5"/>
  <c r="AX22" i="5"/>
  <c r="AT23" i="5"/>
  <c r="AX23" i="5"/>
  <c r="AT24" i="5"/>
  <c r="AX24" i="5"/>
  <c r="AT25" i="5"/>
  <c r="AX25" i="5"/>
  <c r="AT26" i="5"/>
  <c r="AX26" i="5"/>
  <c r="AT27" i="5"/>
  <c r="AX27" i="5"/>
  <c r="AT28" i="5"/>
  <c r="AX28" i="5"/>
  <c r="AT29" i="5"/>
  <c r="AX29" i="5"/>
  <c r="AT30" i="5"/>
  <c r="AX30" i="5"/>
  <c r="AT31" i="5"/>
  <c r="AX31" i="5"/>
  <c r="AT32" i="5"/>
  <c r="AX32" i="5"/>
  <c r="AT33" i="5"/>
  <c r="AX33" i="5"/>
  <c r="AT34" i="5"/>
  <c r="AX34" i="5"/>
  <c r="AT35" i="5"/>
  <c r="AX35" i="5"/>
  <c r="AT36" i="5"/>
  <c r="AX36" i="5"/>
  <c r="AT37" i="5"/>
  <c r="AX37" i="5"/>
  <c r="AT38" i="5"/>
  <c r="AX38" i="5"/>
  <c r="AT39" i="5"/>
  <c r="AX39" i="5"/>
  <c r="AT40" i="5"/>
  <c r="AX40" i="5"/>
  <c r="AT41" i="5"/>
  <c r="AX41" i="5"/>
  <c r="AT42" i="5"/>
  <c r="AX42" i="5"/>
  <c r="AT43" i="5"/>
  <c r="AX43" i="5"/>
  <c r="AT44" i="5"/>
  <c r="AX44" i="5"/>
  <c r="AT45" i="5"/>
  <c r="AX45" i="5"/>
  <c r="AT46" i="5"/>
  <c r="AX46" i="5"/>
  <c r="AT47" i="5"/>
  <c r="AX47" i="5"/>
  <c r="AT48" i="5"/>
  <c r="AX48" i="5"/>
  <c r="AT49" i="5"/>
  <c r="AX49" i="5"/>
  <c r="AT50" i="5"/>
  <c r="AX50" i="5"/>
  <c r="AT51" i="5"/>
  <c r="AX51" i="5"/>
  <c r="AT52" i="5"/>
  <c r="AX52" i="5"/>
  <c r="AT53" i="5"/>
  <c r="AX53" i="5"/>
  <c r="AT54" i="5"/>
  <c r="AX54" i="5"/>
  <c r="AT55" i="5"/>
  <c r="AX55" i="5"/>
  <c r="AT56" i="5"/>
  <c r="AX56" i="5"/>
  <c r="AT57" i="5"/>
  <c r="AX57" i="5"/>
  <c r="AT58" i="5"/>
  <c r="AX58" i="5"/>
  <c r="AT59" i="5"/>
  <c r="AX59" i="5"/>
  <c r="AT60" i="5"/>
  <c r="AX60" i="5"/>
  <c r="AT61" i="5"/>
  <c r="AX61" i="5"/>
  <c r="AT62" i="5"/>
  <c r="AX62" i="5"/>
  <c r="AT63" i="5"/>
  <c r="AX63" i="5"/>
  <c r="AT64" i="5"/>
  <c r="AX64" i="5"/>
  <c r="AT65" i="5"/>
  <c r="AX65" i="5"/>
  <c r="AT66" i="5"/>
  <c r="AX66" i="5"/>
  <c r="AT67" i="5"/>
  <c r="AX67" i="5"/>
  <c r="AT68" i="5"/>
  <c r="AX68" i="5"/>
  <c r="AT69" i="5"/>
  <c r="AX69" i="5"/>
  <c r="AT70" i="5"/>
  <c r="AX70" i="5"/>
  <c r="AT71" i="5"/>
  <c r="AX71" i="5"/>
  <c r="AT72" i="5"/>
  <c r="AX72" i="5"/>
  <c r="AT73" i="5"/>
  <c r="AX73" i="5"/>
  <c r="AT74" i="5"/>
  <c r="AX74" i="5"/>
  <c r="AT75" i="5"/>
  <c r="AX75" i="5"/>
  <c r="AX76" i="5"/>
  <c r="AR76" i="5"/>
  <c r="AT76" i="5"/>
  <c r="AU76" i="5"/>
  <c r="AW76" i="5"/>
  <c r="AY76" i="5"/>
  <c r="J76" i="6"/>
  <c r="K76" i="6"/>
  <c r="D76" i="6"/>
  <c r="C76" i="6"/>
  <c r="G75" i="20"/>
  <c r="Q75" i="20"/>
  <c r="R75" i="20"/>
  <c r="S75" i="20"/>
  <c r="C7" i="2"/>
  <c r="AK7" i="2"/>
  <c r="C8" i="2"/>
  <c r="AK8" i="2"/>
  <c r="C9" i="2"/>
  <c r="AK9" i="2"/>
  <c r="C10" i="2"/>
  <c r="AK10" i="2"/>
  <c r="C11" i="2"/>
  <c r="AK11" i="2"/>
  <c r="C12" i="2"/>
  <c r="AK12" i="2"/>
  <c r="C13" i="2"/>
  <c r="AK13" i="2"/>
  <c r="C14" i="2"/>
  <c r="AK14" i="2"/>
  <c r="C15" i="2"/>
  <c r="F4" i="19"/>
  <c r="D7" i="14"/>
  <c r="AM15" i="5"/>
  <c r="Q14" i="20"/>
  <c r="E7" i="14"/>
  <c r="F7" i="14"/>
  <c r="G7" i="14"/>
  <c r="H7" i="14"/>
  <c r="I7" i="14"/>
  <c r="D15" i="2"/>
  <c r="AK15" i="2"/>
  <c r="C16" i="2"/>
  <c r="AK16" i="2"/>
  <c r="C17" i="2"/>
  <c r="AK17" i="2"/>
  <c r="C18" i="2"/>
  <c r="AK18" i="2"/>
  <c r="C19" i="2"/>
  <c r="AK19" i="2"/>
  <c r="C20" i="2"/>
  <c r="AK20" i="2"/>
  <c r="C21" i="2"/>
  <c r="AK21" i="2"/>
  <c r="C22" i="2"/>
  <c r="AK22" i="2"/>
  <c r="C23" i="2"/>
  <c r="F5" i="19"/>
  <c r="D8" i="14"/>
  <c r="AM23" i="5"/>
  <c r="Q22" i="20"/>
  <c r="E8" i="14"/>
  <c r="F8" i="14"/>
  <c r="G8" i="14"/>
  <c r="H8" i="14"/>
  <c r="I8" i="14"/>
  <c r="F6" i="19"/>
  <c r="D11" i="14"/>
  <c r="E11" i="14"/>
  <c r="F11" i="14"/>
  <c r="G11" i="14"/>
  <c r="H11" i="14"/>
  <c r="I11" i="14"/>
  <c r="F7" i="19"/>
  <c r="D12" i="14"/>
  <c r="E12" i="14"/>
  <c r="F12" i="14"/>
  <c r="G12" i="14"/>
  <c r="H12" i="14"/>
  <c r="I12" i="14"/>
  <c r="F8" i="19"/>
  <c r="D13" i="14"/>
  <c r="E13" i="14"/>
  <c r="F13" i="14"/>
  <c r="G13" i="14"/>
  <c r="H13" i="14"/>
  <c r="I13" i="14"/>
  <c r="F9" i="19"/>
  <c r="D14" i="14"/>
  <c r="E14" i="14"/>
  <c r="F14" i="14"/>
  <c r="G14" i="14"/>
  <c r="H14" i="14"/>
  <c r="I14" i="14"/>
  <c r="F10" i="19"/>
  <c r="D15" i="14"/>
  <c r="E15" i="14"/>
  <c r="F15" i="14"/>
  <c r="G15" i="14"/>
  <c r="H15" i="14"/>
  <c r="I15" i="14"/>
  <c r="I16" i="14"/>
  <c r="I18" i="14"/>
  <c r="D23" i="2"/>
  <c r="AK23" i="2"/>
  <c r="C24" i="2"/>
  <c r="AK24" i="2"/>
  <c r="C25" i="2"/>
  <c r="AK25" i="2"/>
  <c r="C26" i="2"/>
  <c r="AK26" i="2"/>
  <c r="C27" i="2"/>
  <c r="AK27" i="2"/>
  <c r="C28" i="2"/>
  <c r="AK28" i="2"/>
  <c r="C29" i="2"/>
  <c r="AK29" i="2"/>
  <c r="C30" i="2"/>
  <c r="AK30" i="2"/>
  <c r="C31" i="2"/>
  <c r="AK31" i="2"/>
  <c r="C32" i="2"/>
  <c r="AK32" i="2"/>
  <c r="C33" i="2"/>
  <c r="AK33" i="2"/>
  <c r="C34" i="2"/>
  <c r="AK34" i="2"/>
  <c r="C35" i="2"/>
  <c r="AK35" i="2"/>
  <c r="C36" i="2"/>
  <c r="AK36" i="2"/>
  <c r="C37" i="2"/>
  <c r="AK37" i="2"/>
  <c r="C38" i="2"/>
  <c r="AK38" i="2"/>
  <c r="C39" i="2"/>
  <c r="AK39" i="2"/>
  <c r="C40" i="2"/>
  <c r="AK40" i="2"/>
  <c r="C41" i="2"/>
  <c r="AK41" i="2"/>
  <c r="C42" i="2"/>
  <c r="AK42" i="2"/>
  <c r="C43" i="2"/>
  <c r="AK43" i="2"/>
  <c r="C44" i="2"/>
  <c r="AK44" i="2"/>
  <c r="C45" i="2"/>
  <c r="AK45" i="2"/>
  <c r="C46" i="2"/>
  <c r="AK46" i="2"/>
  <c r="C47" i="2"/>
  <c r="AK47" i="2"/>
  <c r="C48" i="2"/>
  <c r="AK48" i="2"/>
  <c r="C49" i="2"/>
  <c r="AK49" i="2"/>
  <c r="C50" i="2"/>
  <c r="AK50" i="2"/>
  <c r="C51" i="2"/>
  <c r="AK51" i="2"/>
  <c r="C52" i="2"/>
  <c r="AK52" i="2"/>
  <c r="C53" i="2"/>
  <c r="AK53" i="2"/>
  <c r="C54" i="2"/>
  <c r="AK54" i="2"/>
  <c r="C55" i="2"/>
  <c r="AK55" i="2"/>
  <c r="C56" i="2"/>
  <c r="AK56" i="2"/>
  <c r="C57" i="2"/>
  <c r="AK57" i="2"/>
  <c r="C58" i="2"/>
  <c r="AK58" i="2"/>
  <c r="C59" i="2"/>
  <c r="AK59" i="2"/>
  <c r="C60" i="2"/>
  <c r="AK60" i="2"/>
  <c r="C61" i="2"/>
  <c r="AK61" i="2"/>
  <c r="C62" i="2"/>
  <c r="AK62" i="2"/>
  <c r="C63" i="2"/>
  <c r="AK63" i="2"/>
  <c r="C64" i="2"/>
  <c r="AK64" i="2"/>
  <c r="C65" i="2"/>
  <c r="AK65" i="2"/>
  <c r="C66" i="2"/>
  <c r="AK66" i="2"/>
  <c r="C67" i="2"/>
  <c r="AK67" i="2"/>
  <c r="C68" i="2"/>
  <c r="AK68" i="2"/>
  <c r="C69" i="2"/>
  <c r="AK69" i="2"/>
  <c r="C70" i="2"/>
  <c r="AK70" i="2"/>
  <c r="C71" i="2"/>
  <c r="AK71" i="2"/>
  <c r="C72" i="2"/>
  <c r="AK72" i="2"/>
  <c r="C73" i="2"/>
  <c r="AK73" i="2"/>
  <c r="C74" i="2"/>
  <c r="AK74" i="2"/>
  <c r="C75" i="2"/>
  <c r="AK75" i="2"/>
  <c r="AK76" i="2"/>
  <c r="C76" i="18"/>
  <c r="AL76" i="2"/>
  <c r="P75" i="20"/>
  <c r="C75" i="20"/>
  <c r="D75" i="20"/>
  <c r="E75" i="20"/>
  <c r="F75" i="20"/>
  <c r="N75" i="20"/>
  <c r="O75" i="20"/>
  <c r="M75" i="20"/>
  <c r="L75" i="20"/>
  <c r="K75" i="20"/>
  <c r="J75" i="20"/>
  <c r="I75" i="20"/>
  <c r="H75" i="20"/>
  <c r="AM75" i="5"/>
  <c r="Q74" i="20"/>
  <c r="AU75" i="5"/>
  <c r="R74" i="20"/>
  <c r="S74" i="20"/>
  <c r="AL75" i="2"/>
  <c r="P74" i="20"/>
  <c r="C74" i="20"/>
  <c r="D74" i="20"/>
  <c r="E74" i="20"/>
  <c r="F74" i="20"/>
  <c r="N74" i="20"/>
  <c r="O74" i="20"/>
  <c r="M74" i="20"/>
  <c r="L74" i="20"/>
  <c r="K74" i="20"/>
  <c r="J74" i="20"/>
  <c r="I74" i="20"/>
  <c r="H74" i="20"/>
  <c r="AM74" i="5"/>
  <c r="Q73" i="20"/>
  <c r="AU74" i="5"/>
  <c r="R73" i="20"/>
  <c r="S73" i="20"/>
  <c r="AL74" i="2"/>
  <c r="P73" i="20"/>
  <c r="C73" i="20"/>
  <c r="D73" i="20"/>
  <c r="E73" i="20"/>
  <c r="F73" i="20"/>
  <c r="N73" i="20"/>
  <c r="O73" i="20"/>
  <c r="M73" i="20"/>
  <c r="L73" i="20"/>
  <c r="K73" i="20"/>
  <c r="J73" i="20"/>
  <c r="I73" i="20"/>
  <c r="H73" i="20"/>
  <c r="AM73" i="5"/>
  <c r="Q72" i="20"/>
  <c r="AU73" i="5"/>
  <c r="R72" i="20"/>
  <c r="S72" i="20"/>
  <c r="AL73" i="2"/>
  <c r="P72" i="20"/>
  <c r="C72" i="20"/>
  <c r="D72" i="20"/>
  <c r="E72" i="20"/>
  <c r="F72" i="20"/>
  <c r="N72" i="20"/>
  <c r="O72" i="20"/>
  <c r="M72" i="20"/>
  <c r="L72" i="20"/>
  <c r="K72" i="20"/>
  <c r="J72" i="20"/>
  <c r="I72" i="20"/>
  <c r="H72" i="20"/>
  <c r="AM72" i="5"/>
  <c r="Q71" i="20"/>
  <c r="AU72" i="5"/>
  <c r="R71" i="20"/>
  <c r="S71" i="20"/>
  <c r="AL72" i="2"/>
  <c r="P71" i="20"/>
  <c r="C71" i="20"/>
  <c r="D71" i="20"/>
  <c r="E71" i="20"/>
  <c r="F71" i="20"/>
  <c r="N71" i="20"/>
  <c r="O71" i="20"/>
  <c r="M71" i="20"/>
  <c r="L71" i="20"/>
  <c r="K71" i="20"/>
  <c r="J71" i="20"/>
  <c r="I71" i="20"/>
  <c r="H71" i="20"/>
  <c r="AM71" i="5"/>
  <c r="Q70" i="20"/>
  <c r="AU71" i="5"/>
  <c r="R70" i="20"/>
  <c r="S70" i="20"/>
  <c r="AL71" i="2"/>
  <c r="P70" i="20"/>
  <c r="C70" i="20"/>
  <c r="D70" i="20"/>
  <c r="E70" i="20"/>
  <c r="F70" i="20"/>
  <c r="N70" i="20"/>
  <c r="O70" i="20"/>
  <c r="M70" i="20"/>
  <c r="L70" i="20"/>
  <c r="K70" i="20"/>
  <c r="J70" i="20"/>
  <c r="I70" i="20"/>
  <c r="H70" i="20"/>
  <c r="AM70" i="5"/>
  <c r="Q69" i="20"/>
  <c r="AU70" i="5"/>
  <c r="R69" i="20"/>
  <c r="S69" i="20"/>
  <c r="AL70" i="2"/>
  <c r="P69" i="20"/>
  <c r="C69" i="20"/>
  <c r="D69" i="20"/>
  <c r="E69" i="20"/>
  <c r="F69" i="20"/>
  <c r="N69" i="20"/>
  <c r="O69" i="20"/>
  <c r="M69" i="20"/>
  <c r="L69" i="20"/>
  <c r="K69" i="20"/>
  <c r="J69" i="20"/>
  <c r="I69" i="20"/>
  <c r="H69" i="20"/>
  <c r="AM69" i="5"/>
  <c r="Q68" i="20"/>
  <c r="AU69" i="5"/>
  <c r="R68" i="20"/>
  <c r="S68" i="20"/>
  <c r="AL69" i="2"/>
  <c r="P68" i="20"/>
  <c r="C68" i="20"/>
  <c r="D68" i="20"/>
  <c r="E68" i="20"/>
  <c r="F68" i="20"/>
  <c r="N68" i="20"/>
  <c r="O68" i="20"/>
  <c r="M68" i="20"/>
  <c r="L68" i="20"/>
  <c r="K68" i="20"/>
  <c r="J68" i="20"/>
  <c r="I68" i="20"/>
  <c r="H68" i="20"/>
  <c r="AM68" i="5"/>
  <c r="Q67" i="20"/>
  <c r="AU68" i="5"/>
  <c r="R67" i="20"/>
  <c r="S67" i="20"/>
  <c r="AL68" i="2"/>
  <c r="P67" i="20"/>
  <c r="C67" i="20"/>
  <c r="D67" i="20"/>
  <c r="E67" i="20"/>
  <c r="F67" i="20"/>
  <c r="N67" i="20"/>
  <c r="O67" i="20"/>
  <c r="M67" i="20"/>
  <c r="L67" i="20"/>
  <c r="K67" i="20"/>
  <c r="J67" i="20"/>
  <c r="I67" i="20"/>
  <c r="H67" i="20"/>
  <c r="AM67" i="5"/>
  <c r="Q66" i="20"/>
  <c r="AU67" i="5"/>
  <c r="R66" i="20"/>
  <c r="S66" i="20"/>
  <c r="AL67" i="2"/>
  <c r="P66" i="20"/>
  <c r="C66" i="20"/>
  <c r="D66" i="20"/>
  <c r="E66" i="20"/>
  <c r="F66" i="20"/>
  <c r="N66" i="20"/>
  <c r="O66" i="20"/>
  <c r="M66" i="20"/>
  <c r="L66" i="20"/>
  <c r="K66" i="20"/>
  <c r="J66" i="20"/>
  <c r="I66" i="20"/>
  <c r="H66" i="20"/>
  <c r="AM66" i="5"/>
  <c r="Q65" i="20"/>
  <c r="AU66" i="5"/>
  <c r="R65" i="20"/>
  <c r="S65" i="20"/>
  <c r="AL66" i="2"/>
  <c r="P65" i="20"/>
  <c r="C65" i="20"/>
  <c r="D65" i="20"/>
  <c r="E65" i="20"/>
  <c r="F65" i="20"/>
  <c r="N65" i="20"/>
  <c r="O65" i="20"/>
  <c r="M65" i="20"/>
  <c r="L65" i="20"/>
  <c r="K65" i="20"/>
  <c r="J65" i="20"/>
  <c r="I65" i="20"/>
  <c r="H65" i="20"/>
  <c r="AM65" i="5"/>
  <c r="Q64" i="20"/>
  <c r="AU65" i="5"/>
  <c r="R64" i="20"/>
  <c r="S64" i="20"/>
  <c r="AL65" i="2"/>
  <c r="P64" i="20"/>
  <c r="C64" i="20"/>
  <c r="D64" i="20"/>
  <c r="E64" i="20"/>
  <c r="F64" i="20"/>
  <c r="N64" i="20"/>
  <c r="O64" i="20"/>
  <c r="M64" i="20"/>
  <c r="L64" i="20"/>
  <c r="K64" i="20"/>
  <c r="J64" i="20"/>
  <c r="I64" i="20"/>
  <c r="H64" i="20"/>
  <c r="AM64" i="5"/>
  <c r="Q63" i="20"/>
  <c r="AU64" i="5"/>
  <c r="R63" i="20"/>
  <c r="S63" i="20"/>
  <c r="AL64" i="2"/>
  <c r="P63" i="20"/>
  <c r="C63" i="20"/>
  <c r="D63" i="20"/>
  <c r="E63" i="20"/>
  <c r="F63" i="20"/>
  <c r="N63" i="20"/>
  <c r="O63" i="20"/>
  <c r="M63" i="20"/>
  <c r="L63" i="20"/>
  <c r="K63" i="20"/>
  <c r="J63" i="20"/>
  <c r="I63" i="20"/>
  <c r="H63" i="20"/>
  <c r="AM63" i="5"/>
  <c r="Q62" i="20"/>
  <c r="AU63" i="5"/>
  <c r="R62" i="20"/>
  <c r="S62" i="20"/>
  <c r="AL63" i="2"/>
  <c r="P62" i="20"/>
  <c r="C62" i="20"/>
  <c r="D62" i="20"/>
  <c r="E62" i="20"/>
  <c r="F62" i="20"/>
  <c r="N62" i="20"/>
  <c r="O62" i="20"/>
  <c r="M62" i="20"/>
  <c r="L62" i="20"/>
  <c r="K62" i="20"/>
  <c r="J62" i="20"/>
  <c r="I62" i="20"/>
  <c r="H62" i="20"/>
  <c r="AM62" i="5"/>
  <c r="Q61" i="20"/>
  <c r="AU62" i="5"/>
  <c r="R61" i="20"/>
  <c r="S61" i="20"/>
  <c r="AL62" i="2"/>
  <c r="P61" i="20"/>
  <c r="C61" i="20"/>
  <c r="D61" i="20"/>
  <c r="E61" i="20"/>
  <c r="F61" i="20"/>
  <c r="N61" i="20"/>
  <c r="O61" i="20"/>
  <c r="M61" i="20"/>
  <c r="L61" i="20"/>
  <c r="K61" i="20"/>
  <c r="J61" i="20"/>
  <c r="I61" i="20"/>
  <c r="H61" i="20"/>
  <c r="AM61" i="5"/>
  <c r="Q60" i="20"/>
  <c r="AU61" i="5"/>
  <c r="R60" i="20"/>
  <c r="S60" i="20"/>
  <c r="AL61" i="2"/>
  <c r="P60" i="20"/>
  <c r="C60" i="20"/>
  <c r="D60" i="20"/>
  <c r="E60" i="20"/>
  <c r="F60" i="20"/>
  <c r="N60" i="20"/>
  <c r="O60" i="20"/>
  <c r="M60" i="20"/>
  <c r="L60" i="20"/>
  <c r="K60" i="20"/>
  <c r="J60" i="20"/>
  <c r="I60" i="20"/>
  <c r="H60" i="20"/>
  <c r="AM60" i="5"/>
  <c r="Q59" i="20"/>
  <c r="AU60" i="5"/>
  <c r="R59" i="20"/>
  <c r="S59" i="20"/>
  <c r="AL60" i="2"/>
  <c r="P59" i="20"/>
  <c r="C59" i="20"/>
  <c r="D59" i="20"/>
  <c r="E59" i="20"/>
  <c r="F59" i="20"/>
  <c r="N59" i="20"/>
  <c r="O59" i="20"/>
  <c r="M59" i="20"/>
  <c r="L59" i="20"/>
  <c r="K59" i="20"/>
  <c r="J59" i="20"/>
  <c r="I59" i="20"/>
  <c r="H59" i="20"/>
  <c r="AM59" i="5"/>
  <c r="Q58" i="20"/>
  <c r="AU59" i="5"/>
  <c r="R58" i="20"/>
  <c r="S58" i="20"/>
  <c r="AL59" i="2"/>
  <c r="P58" i="20"/>
  <c r="C58" i="20"/>
  <c r="D58" i="20"/>
  <c r="E58" i="20"/>
  <c r="F58" i="20"/>
  <c r="N58" i="20"/>
  <c r="O58" i="20"/>
  <c r="M58" i="20"/>
  <c r="L58" i="20"/>
  <c r="K58" i="20"/>
  <c r="J58" i="20"/>
  <c r="I58" i="20"/>
  <c r="H58" i="20"/>
  <c r="AM58" i="5"/>
  <c r="Q57" i="20"/>
  <c r="AU58" i="5"/>
  <c r="R57" i="20"/>
  <c r="S57" i="20"/>
  <c r="AL58" i="2"/>
  <c r="P57" i="20"/>
  <c r="C57" i="20"/>
  <c r="D57" i="20"/>
  <c r="E57" i="20"/>
  <c r="F57" i="20"/>
  <c r="N57" i="20"/>
  <c r="O57" i="20"/>
  <c r="M57" i="20"/>
  <c r="L57" i="20"/>
  <c r="K57" i="20"/>
  <c r="J57" i="20"/>
  <c r="I57" i="20"/>
  <c r="H57" i="20"/>
  <c r="AM57" i="5"/>
  <c r="Q56" i="20"/>
  <c r="AU57" i="5"/>
  <c r="R56" i="20"/>
  <c r="S56" i="20"/>
  <c r="AL57" i="2"/>
  <c r="P56" i="20"/>
  <c r="C56" i="20"/>
  <c r="D56" i="20"/>
  <c r="E56" i="20"/>
  <c r="F56" i="20"/>
  <c r="N56" i="20"/>
  <c r="O56" i="20"/>
  <c r="M56" i="20"/>
  <c r="L56" i="20"/>
  <c r="K56" i="20"/>
  <c r="J56" i="20"/>
  <c r="I56" i="20"/>
  <c r="H56" i="20"/>
  <c r="AM56" i="5"/>
  <c r="Q55" i="20"/>
  <c r="AU56" i="5"/>
  <c r="R55" i="20"/>
  <c r="S55" i="20"/>
  <c r="AL56" i="2"/>
  <c r="P55" i="20"/>
  <c r="C55" i="20"/>
  <c r="D55" i="20"/>
  <c r="E55" i="20"/>
  <c r="F55" i="20"/>
  <c r="N55" i="20"/>
  <c r="O55" i="20"/>
  <c r="M55" i="20"/>
  <c r="L55" i="20"/>
  <c r="K55" i="20"/>
  <c r="J55" i="20"/>
  <c r="I55" i="20"/>
  <c r="H55" i="20"/>
  <c r="AM55" i="5"/>
  <c r="Q54" i="20"/>
  <c r="AU55" i="5"/>
  <c r="R54" i="20"/>
  <c r="S54" i="20"/>
  <c r="AL55" i="2"/>
  <c r="P54" i="20"/>
  <c r="C54" i="20"/>
  <c r="D54" i="20"/>
  <c r="E54" i="20"/>
  <c r="F54" i="20"/>
  <c r="N54" i="20"/>
  <c r="O54" i="20"/>
  <c r="M54" i="20"/>
  <c r="L54" i="20"/>
  <c r="K54" i="20"/>
  <c r="J54" i="20"/>
  <c r="I54" i="20"/>
  <c r="H54" i="20"/>
  <c r="AM54" i="5"/>
  <c r="Q53" i="20"/>
  <c r="AU54" i="5"/>
  <c r="R53" i="20"/>
  <c r="S53" i="20"/>
  <c r="AL54" i="2"/>
  <c r="P53" i="20"/>
  <c r="C53" i="20"/>
  <c r="D53" i="20"/>
  <c r="E53" i="20"/>
  <c r="F53" i="20"/>
  <c r="N53" i="20"/>
  <c r="O53" i="20"/>
  <c r="M53" i="20"/>
  <c r="L53" i="20"/>
  <c r="K53" i="20"/>
  <c r="J53" i="20"/>
  <c r="I53" i="20"/>
  <c r="H53" i="20"/>
  <c r="AM53" i="5"/>
  <c r="Q52" i="20"/>
  <c r="AU53" i="5"/>
  <c r="R52" i="20"/>
  <c r="S52" i="20"/>
  <c r="AL53" i="2"/>
  <c r="P52" i="20"/>
  <c r="C52" i="20"/>
  <c r="D52" i="20"/>
  <c r="E52" i="20"/>
  <c r="F52" i="20"/>
  <c r="N52" i="20"/>
  <c r="O52" i="20"/>
  <c r="M52" i="20"/>
  <c r="L52" i="20"/>
  <c r="K52" i="20"/>
  <c r="J52" i="20"/>
  <c r="I52" i="20"/>
  <c r="H52" i="20"/>
  <c r="AM52" i="5"/>
  <c r="Q51" i="20"/>
  <c r="AU52" i="5"/>
  <c r="R51" i="20"/>
  <c r="S51" i="20"/>
  <c r="AL52" i="2"/>
  <c r="P51" i="20"/>
  <c r="C51" i="20"/>
  <c r="D51" i="20"/>
  <c r="E51" i="20"/>
  <c r="F51" i="20"/>
  <c r="N51" i="20"/>
  <c r="O51" i="20"/>
  <c r="M51" i="20"/>
  <c r="L51" i="20"/>
  <c r="K51" i="20"/>
  <c r="J51" i="20"/>
  <c r="I51" i="20"/>
  <c r="H51" i="20"/>
  <c r="AM51" i="5"/>
  <c r="Q50" i="20"/>
  <c r="AU51" i="5"/>
  <c r="R50" i="20"/>
  <c r="S50" i="20"/>
  <c r="AL51" i="2"/>
  <c r="P50" i="20"/>
  <c r="C50" i="20"/>
  <c r="D50" i="20"/>
  <c r="E50" i="20"/>
  <c r="F50" i="20"/>
  <c r="N50" i="20"/>
  <c r="O50" i="20"/>
  <c r="M50" i="20"/>
  <c r="L50" i="20"/>
  <c r="K50" i="20"/>
  <c r="J50" i="20"/>
  <c r="I50" i="20"/>
  <c r="H50" i="20"/>
  <c r="AM50" i="5"/>
  <c r="Q49" i="20"/>
  <c r="AU50" i="5"/>
  <c r="R49" i="20"/>
  <c r="S49" i="20"/>
  <c r="AL50" i="2"/>
  <c r="P49" i="20"/>
  <c r="C49" i="20"/>
  <c r="D49" i="20"/>
  <c r="E49" i="20"/>
  <c r="F49" i="20"/>
  <c r="N49" i="20"/>
  <c r="O49" i="20"/>
  <c r="M49" i="20"/>
  <c r="L49" i="20"/>
  <c r="K49" i="20"/>
  <c r="J49" i="20"/>
  <c r="I49" i="20"/>
  <c r="H49" i="20"/>
  <c r="AM49" i="5"/>
  <c r="Q48" i="20"/>
  <c r="AU49" i="5"/>
  <c r="R48" i="20"/>
  <c r="S48" i="20"/>
  <c r="AL49" i="2"/>
  <c r="P48" i="20"/>
  <c r="C48" i="20"/>
  <c r="D48" i="20"/>
  <c r="E48" i="20"/>
  <c r="F48" i="20"/>
  <c r="N48" i="20"/>
  <c r="O48" i="20"/>
  <c r="M48" i="20"/>
  <c r="L48" i="20"/>
  <c r="K48" i="20"/>
  <c r="J48" i="20"/>
  <c r="I48" i="20"/>
  <c r="H48" i="20"/>
  <c r="AM48" i="5"/>
  <c r="Q47" i="20"/>
  <c r="AU48" i="5"/>
  <c r="R47" i="20"/>
  <c r="S47" i="20"/>
  <c r="AL48" i="2"/>
  <c r="P47" i="20"/>
  <c r="C47" i="20"/>
  <c r="D47" i="20"/>
  <c r="E47" i="20"/>
  <c r="F47" i="20"/>
  <c r="N47" i="20"/>
  <c r="O47" i="20"/>
  <c r="M47" i="20"/>
  <c r="L47" i="20"/>
  <c r="K47" i="20"/>
  <c r="J47" i="20"/>
  <c r="I47" i="20"/>
  <c r="H47" i="20"/>
  <c r="AM47" i="5"/>
  <c r="Q46" i="20"/>
  <c r="AU47" i="5"/>
  <c r="R46" i="20"/>
  <c r="S46" i="20"/>
  <c r="AL47" i="2"/>
  <c r="P46" i="20"/>
  <c r="C46" i="20"/>
  <c r="D46" i="20"/>
  <c r="E46" i="20"/>
  <c r="F46" i="20"/>
  <c r="N46" i="20"/>
  <c r="O46" i="20"/>
  <c r="M46" i="20"/>
  <c r="L46" i="20"/>
  <c r="K46" i="20"/>
  <c r="J46" i="20"/>
  <c r="I46" i="20"/>
  <c r="H46" i="20"/>
  <c r="AM46" i="5"/>
  <c r="Q45" i="20"/>
  <c r="AU46" i="5"/>
  <c r="R45" i="20"/>
  <c r="S45" i="20"/>
  <c r="AL46" i="2"/>
  <c r="P45" i="20"/>
  <c r="C45" i="20"/>
  <c r="D45" i="20"/>
  <c r="E45" i="20"/>
  <c r="F45" i="20"/>
  <c r="N45" i="20"/>
  <c r="O45" i="20"/>
  <c r="M45" i="20"/>
  <c r="L45" i="20"/>
  <c r="K45" i="20"/>
  <c r="J45" i="20"/>
  <c r="I45" i="20"/>
  <c r="H45" i="20"/>
  <c r="AM45" i="5"/>
  <c r="Q44" i="20"/>
  <c r="AU45" i="5"/>
  <c r="R44" i="20"/>
  <c r="S44" i="20"/>
  <c r="AL45" i="2"/>
  <c r="P44" i="20"/>
  <c r="C44" i="20"/>
  <c r="D44" i="20"/>
  <c r="E44" i="20"/>
  <c r="F44" i="20"/>
  <c r="N44" i="20"/>
  <c r="O44" i="20"/>
  <c r="M44" i="20"/>
  <c r="L44" i="20"/>
  <c r="K44" i="20"/>
  <c r="J44" i="20"/>
  <c r="I44" i="20"/>
  <c r="H44" i="20"/>
  <c r="AM44" i="5"/>
  <c r="Q43" i="20"/>
  <c r="AU44" i="5"/>
  <c r="R43" i="20"/>
  <c r="S43" i="20"/>
  <c r="AL44" i="2"/>
  <c r="P43" i="20"/>
  <c r="C43" i="20"/>
  <c r="D43" i="20"/>
  <c r="E43" i="20"/>
  <c r="F43" i="20"/>
  <c r="N43" i="20"/>
  <c r="O43" i="20"/>
  <c r="M43" i="20"/>
  <c r="L43" i="20"/>
  <c r="K43" i="20"/>
  <c r="J43" i="20"/>
  <c r="I43" i="20"/>
  <c r="H43" i="20"/>
  <c r="AM43" i="5"/>
  <c r="Q42" i="20"/>
  <c r="AU43" i="5"/>
  <c r="R42" i="20"/>
  <c r="S42" i="20"/>
  <c r="AL43" i="2"/>
  <c r="P42" i="20"/>
  <c r="C42" i="20"/>
  <c r="D42" i="20"/>
  <c r="E42" i="20"/>
  <c r="F42" i="20"/>
  <c r="N42" i="20"/>
  <c r="O42" i="20"/>
  <c r="M42" i="20"/>
  <c r="L42" i="20"/>
  <c r="K42" i="20"/>
  <c r="J42" i="20"/>
  <c r="I42" i="20"/>
  <c r="H42" i="20"/>
  <c r="AM42" i="5"/>
  <c r="Q41" i="20"/>
  <c r="AU42" i="5"/>
  <c r="R41" i="20"/>
  <c r="S41" i="20"/>
  <c r="AL42" i="2"/>
  <c r="P41" i="20"/>
  <c r="C41" i="20"/>
  <c r="D41" i="20"/>
  <c r="E41" i="20"/>
  <c r="F41" i="20"/>
  <c r="N41" i="20"/>
  <c r="O41" i="20"/>
  <c r="M41" i="20"/>
  <c r="L41" i="20"/>
  <c r="K41" i="20"/>
  <c r="J41" i="20"/>
  <c r="I41" i="20"/>
  <c r="H41" i="20"/>
  <c r="AM41" i="5"/>
  <c r="Q40" i="20"/>
  <c r="AU41" i="5"/>
  <c r="R40" i="20"/>
  <c r="S40" i="20"/>
  <c r="AL41" i="2"/>
  <c r="P40" i="20"/>
  <c r="C40" i="20"/>
  <c r="D40" i="20"/>
  <c r="E40" i="20"/>
  <c r="F40" i="20"/>
  <c r="N40" i="20"/>
  <c r="O40" i="20"/>
  <c r="M40" i="20"/>
  <c r="L40" i="20"/>
  <c r="K40" i="20"/>
  <c r="J40" i="20"/>
  <c r="I40" i="20"/>
  <c r="H40" i="20"/>
  <c r="AM40" i="5"/>
  <c r="Q39" i="20"/>
  <c r="AU40" i="5"/>
  <c r="R39" i="20"/>
  <c r="S39" i="20"/>
  <c r="AL40" i="2"/>
  <c r="P39" i="20"/>
  <c r="C39" i="20"/>
  <c r="D39" i="20"/>
  <c r="E39" i="20"/>
  <c r="F39" i="20"/>
  <c r="N39" i="20"/>
  <c r="O39" i="20"/>
  <c r="M39" i="20"/>
  <c r="L39" i="20"/>
  <c r="K39" i="20"/>
  <c r="J39" i="20"/>
  <c r="I39" i="20"/>
  <c r="H39" i="20"/>
  <c r="AM39" i="5"/>
  <c r="Q38" i="20"/>
  <c r="AU39" i="5"/>
  <c r="R38" i="20"/>
  <c r="S38" i="20"/>
  <c r="AL39" i="2"/>
  <c r="P38" i="20"/>
  <c r="C38" i="20"/>
  <c r="D38" i="20"/>
  <c r="E38" i="20"/>
  <c r="F38" i="20"/>
  <c r="N38" i="20"/>
  <c r="O38" i="20"/>
  <c r="M38" i="20"/>
  <c r="L38" i="20"/>
  <c r="K38" i="20"/>
  <c r="J38" i="20"/>
  <c r="I38" i="20"/>
  <c r="H38" i="20"/>
  <c r="AM38" i="5"/>
  <c r="Q37" i="20"/>
  <c r="AU38" i="5"/>
  <c r="R37" i="20"/>
  <c r="S37" i="20"/>
  <c r="AL38" i="2"/>
  <c r="P37" i="20"/>
  <c r="C37" i="20"/>
  <c r="D37" i="20"/>
  <c r="E37" i="20"/>
  <c r="F37" i="20"/>
  <c r="N37" i="20"/>
  <c r="O37" i="20"/>
  <c r="M37" i="20"/>
  <c r="L37" i="20"/>
  <c r="K37" i="20"/>
  <c r="J37" i="20"/>
  <c r="I37" i="20"/>
  <c r="H37" i="20"/>
  <c r="AM37" i="5"/>
  <c r="Q36" i="20"/>
  <c r="AU37" i="5"/>
  <c r="R36" i="20"/>
  <c r="S36" i="20"/>
  <c r="AL37" i="2"/>
  <c r="P36" i="20"/>
  <c r="C36" i="20"/>
  <c r="D36" i="20"/>
  <c r="E36" i="20"/>
  <c r="F36" i="20"/>
  <c r="N36" i="20"/>
  <c r="O36" i="20"/>
  <c r="M36" i="20"/>
  <c r="L36" i="20"/>
  <c r="K36" i="20"/>
  <c r="J36" i="20"/>
  <c r="I36" i="20"/>
  <c r="H36" i="20"/>
  <c r="AM36" i="5"/>
  <c r="Q35" i="20"/>
  <c r="AU36" i="5"/>
  <c r="R35" i="20"/>
  <c r="S35" i="20"/>
  <c r="AL36" i="2"/>
  <c r="P35" i="20"/>
  <c r="C35" i="20"/>
  <c r="D35" i="20"/>
  <c r="E35" i="20"/>
  <c r="F35" i="20"/>
  <c r="N35" i="20"/>
  <c r="O35" i="20"/>
  <c r="M35" i="20"/>
  <c r="L35" i="20"/>
  <c r="K35" i="20"/>
  <c r="J35" i="20"/>
  <c r="I35" i="20"/>
  <c r="H35" i="20"/>
  <c r="AM35" i="5"/>
  <c r="Q34" i="20"/>
  <c r="AU35" i="5"/>
  <c r="R34" i="20"/>
  <c r="S34" i="20"/>
  <c r="AL35" i="2"/>
  <c r="P34" i="20"/>
  <c r="C34" i="20"/>
  <c r="D34" i="20"/>
  <c r="E34" i="20"/>
  <c r="F34" i="20"/>
  <c r="N34" i="20"/>
  <c r="O34" i="20"/>
  <c r="M34" i="20"/>
  <c r="L34" i="20"/>
  <c r="K34" i="20"/>
  <c r="J34" i="20"/>
  <c r="I34" i="20"/>
  <c r="H34" i="20"/>
  <c r="AM34" i="5"/>
  <c r="Q33" i="20"/>
  <c r="AU34" i="5"/>
  <c r="R33" i="20"/>
  <c r="S33" i="20"/>
  <c r="AL34" i="2"/>
  <c r="P33" i="20"/>
  <c r="C33" i="20"/>
  <c r="D33" i="20"/>
  <c r="E33" i="20"/>
  <c r="F33" i="20"/>
  <c r="N33" i="20"/>
  <c r="O33" i="20"/>
  <c r="M33" i="20"/>
  <c r="L33" i="20"/>
  <c r="K33" i="20"/>
  <c r="J33" i="20"/>
  <c r="I33" i="20"/>
  <c r="H33" i="20"/>
  <c r="AM33" i="5"/>
  <c r="Q32" i="20"/>
  <c r="AU33" i="5"/>
  <c r="R32" i="20"/>
  <c r="S32" i="20"/>
  <c r="AL33" i="2"/>
  <c r="P32" i="20"/>
  <c r="C32" i="20"/>
  <c r="D32" i="20"/>
  <c r="E32" i="20"/>
  <c r="F32" i="20"/>
  <c r="N32" i="20"/>
  <c r="O32" i="20"/>
  <c r="M32" i="20"/>
  <c r="L32" i="20"/>
  <c r="K32" i="20"/>
  <c r="J32" i="20"/>
  <c r="I32" i="20"/>
  <c r="H32" i="20"/>
  <c r="AM32" i="5"/>
  <c r="Q31" i="20"/>
  <c r="AU32" i="5"/>
  <c r="R31" i="20"/>
  <c r="S31" i="20"/>
  <c r="AL32" i="2"/>
  <c r="P31" i="20"/>
  <c r="C31" i="20"/>
  <c r="D31" i="20"/>
  <c r="E31" i="20"/>
  <c r="F31" i="20"/>
  <c r="N31" i="20"/>
  <c r="O31" i="20"/>
  <c r="M31" i="20"/>
  <c r="L31" i="20"/>
  <c r="K31" i="20"/>
  <c r="J31" i="20"/>
  <c r="I31" i="20"/>
  <c r="H31" i="20"/>
  <c r="AM31" i="5"/>
  <c r="Q30" i="20"/>
  <c r="AU31" i="5"/>
  <c r="R30" i="20"/>
  <c r="S30" i="20"/>
  <c r="AL31" i="2"/>
  <c r="P30" i="20"/>
  <c r="C30" i="20"/>
  <c r="D30" i="20"/>
  <c r="E30" i="20"/>
  <c r="F30" i="20"/>
  <c r="N30" i="20"/>
  <c r="O30" i="20"/>
  <c r="M30" i="20"/>
  <c r="L30" i="20"/>
  <c r="K30" i="20"/>
  <c r="J30" i="20"/>
  <c r="I30" i="20"/>
  <c r="H30" i="20"/>
  <c r="AM30" i="5"/>
  <c r="Q29" i="20"/>
  <c r="AU30" i="5"/>
  <c r="R29" i="20"/>
  <c r="S29" i="20"/>
  <c r="AL30" i="2"/>
  <c r="P29" i="20"/>
  <c r="C29" i="20"/>
  <c r="D29" i="20"/>
  <c r="E29" i="20"/>
  <c r="F29" i="20"/>
  <c r="N29" i="20"/>
  <c r="O29" i="20"/>
  <c r="M29" i="20"/>
  <c r="L29" i="20"/>
  <c r="K29" i="20"/>
  <c r="J29" i="20"/>
  <c r="I29" i="20"/>
  <c r="H29" i="20"/>
  <c r="AM29" i="5"/>
  <c r="Q28" i="20"/>
  <c r="AU29" i="5"/>
  <c r="R28" i="20"/>
  <c r="S28" i="20"/>
  <c r="AL29" i="2"/>
  <c r="P28" i="20"/>
  <c r="C28" i="20"/>
  <c r="D28" i="20"/>
  <c r="E28" i="20"/>
  <c r="F28" i="20"/>
  <c r="N28" i="20"/>
  <c r="O28" i="20"/>
  <c r="M28" i="20"/>
  <c r="L28" i="20"/>
  <c r="K28" i="20"/>
  <c r="J28" i="20"/>
  <c r="I28" i="20"/>
  <c r="H28" i="20"/>
  <c r="AM28" i="5"/>
  <c r="Q27" i="20"/>
  <c r="AU28" i="5"/>
  <c r="R27" i="20"/>
  <c r="S27" i="20"/>
  <c r="AL28" i="2"/>
  <c r="P27" i="20"/>
  <c r="C27" i="20"/>
  <c r="D27" i="20"/>
  <c r="E27" i="20"/>
  <c r="F27" i="20"/>
  <c r="N27" i="20"/>
  <c r="O27" i="20"/>
  <c r="M27" i="20"/>
  <c r="L27" i="20"/>
  <c r="K27" i="20"/>
  <c r="J27" i="20"/>
  <c r="I27" i="20"/>
  <c r="H27" i="20"/>
  <c r="AM27" i="5"/>
  <c r="Q26" i="20"/>
  <c r="AU27" i="5"/>
  <c r="R26" i="20"/>
  <c r="S26" i="20"/>
  <c r="AL27" i="2"/>
  <c r="P26" i="20"/>
  <c r="C26" i="20"/>
  <c r="D26" i="20"/>
  <c r="E26" i="20"/>
  <c r="F26" i="20"/>
  <c r="N26" i="20"/>
  <c r="O26" i="20"/>
  <c r="M26" i="20"/>
  <c r="L26" i="20"/>
  <c r="K26" i="20"/>
  <c r="J26" i="20"/>
  <c r="I26" i="20"/>
  <c r="H26" i="20"/>
  <c r="AM26" i="5"/>
  <c r="Q25" i="20"/>
  <c r="AU26" i="5"/>
  <c r="R25" i="20"/>
  <c r="S25" i="20"/>
  <c r="AL26" i="2"/>
  <c r="P25" i="20"/>
  <c r="C25" i="20"/>
  <c r="D25" i="20"/>
  <c r="E25" i="20"/>
  <c r="F25" i="20"/>
  <c r="N25" i="20"/>
  <c r="O25" i="20"/>
  <c r="M25" i="20"/>
  <c r="L25" i="20"/>
  <c r="K25" i="20"/>
  <c r="J25" i="20"/>
  <c r="I25" i="20"/>
  <c r="H25" i="20"/>
  <c r="AM25" i="5"/>
  <c r="Q24" i="20"/>
  <c r="AU25" i="5"/>
  <c r="R24" i="20"/>
  <c r="S24" i="20"/>
  <c r="AL25" i="2"/>
  <c r="P24" i="20"/>
  <c r="C24" i="20"/>
  <c r="D24" i="20"/>
  <c r="E24" i="20"/>
  <c r="F24" i="20"/>
  <c r="N24" i="20"/>
  <c r="O24" i="20"/>
  <c r="M24" i="20"/>
  <c r="L24" i="20"/>
  <c r="K24" i="20"/>
  <c r="J24" i="20"/>
  <c r="I24" i="20"/>
  <c r="H24" i="20"/>
  <c r="AM24" i="5"/>
  <c r="Q23" i="20"/>
  <c r="AU24" i="5"/>
  <c r="R23" i="20"/>
  <c r="S23" i="20"/>
  <c r="AL24" i="2"/>
  <c r="P23" i="20"/>
  <c r="C23" i="20"/>
  <c r="D23" i="20"/>
  <c r="E23" i="20"/>
  <c r="F23" i="20"/>
  <c r="N23" i="20"/>
  <c r="O23" i="20"/>
  <c r="M23" i="20"/>
  <c r="L23" i="20"/>
  <c r="K23" i="20"/>
  <c r="J23" i="20"/>
  <c r="I23" i="20"/>
  <c r="H23" i="20"/>
  <c r="AU23" i="5"/>
  <c r="R22" i="20"/>
  <c r="S22" i="20"/>
  <c r="AL23" i="2"/>
  <c r="P22" i="20"/>
  <c r="C22" i="20"/>
  <c r="D22" i="20"/>
  <c r="E22" i="20"/>
  <c r="F22" i="20"/>
  <c r="N22" i="20"/>
  <c r="O22" i="20"/>
  <c r="M22" i="20"/>
  <c r="L22" i="20"/>
  <c r="K22" i="20"/>
  <c r="J22" i="20"/>
  <c r="I22" i="20"/>
  <c r="H22" i="20"/>
  <c r="AM22" i="5"/>
  <c r="Q21" i="20"/>
  <c r="AU22" i="5"/>
  <c r="R21" i="20"/>
  <c r="S21" i="20"/>
  <c r="AL22" i="2"/>
  <c r="P21" i="20"/>
  <c r="C21" i="20"/>
  <c r="D21" i="20"/>
  <c r="E21" i="20"/>
  <c r="F21" i="20"/>
  <c r="N21" i="20"/>
  <c r="O21" i="20"/>
  <c r="M21" i="20"/>
  <c r="L21" i="20"/>
  <c r="K21" i="20"/>
  <c r="J21" i="20"/>
  <c r="I21" i="20"/>
  <c r="H21" i="20"/>
  <c r="AM21" i="5"/>
  <c r="Q20" i="20"/>
  <c r="AU21" i="5"/>
  <c r="R20" i="20"/>
  <c r="S20" i="20"/>
  <c r="AL21" i="2"/>
  <c r="P20" i="20"/>
  <c r="C20" i="20"/>
  <c r="D20" i="20"/>
  <c r="E20" i="20"/>
  <c r="F20" i="20"/>
  <c r="N20" i="20"/>
  <c r="O20" i="20"/>
  <c r="M20" i="20"/>
  <c r="L20" i="20"/>
  <c r="K20" i="20"/>
  <c r="J20" i="20"/>
  <c r="I20" i="20"/>
  <c r="H20" i="20"/>
  <c r="AM20" i="5"/>
  <c r="Q19" i="20"/>
  <c r="AU20" i="5"/>
  <c r="R19" i="20"/>
  <c r="S19" i="20"/>
  <c r="AL20" i="2"/>
  <c r="P19" i="20"/>
  <c r="C19" i="20"/>
  <c r="D19" i="20"/>
  <c r="E19" i="20"/>
  <c r="F19" i="20"/>
  <c r="N19" i="20"/>
  <c r="O19" i="20"/>
  <c r="M19" i="20"/>
  <c r="L19" i="20"/>
  <c r="K19" i="20"/>
  <c r="J19" i="20"/>
  <c r="I19" i="20"/>
  <c r="H19" i="20"/>
  <c r="AM19" i="5"/>
  <c r="Q18" i="20"/>
  <c r="AU19" i="5"/>
  <c r="R18" i="20"/>
  <c r="S18" i="20"/>
  <c r="AL19" i="2"/>
  <c r="P18" i="20"/>
  <c r="C18" i="20"/>
  <c r="D18" i="20"/>
  <c r="E18" i="20"/>
  <c r="F18" i="20"/>
  <c r="N18" i="20"/>
  <c r="O18" i="20"/>
  <c r="M18" i="20"/>
  <c r="L18" i="20"/>
  <c r="K18" i="20"/>
  <c r="J18" i="20"/>
  <c r="I18" i="20"/>
  <c r="H18" i="20"/>
  <c r="AM18" i="5"/>
  <c r="Q17" i="20"/>
  <c r="AU18" i="5"/>
  <c r="R17" i="20"/>
  <c r="S17" i="20"/>
  <c r="AL18" i="2"/>
  <c r="P17" i="20"/>
  <c r="C17" i="20"/>
  <c r="D17" i="20"/>
  <c r="E17" i="20"/>
  <c r="F17" i="20"/>
  <c r="N17" i="20"/>
  <c r="O17" i="20"/>
  <c r="M17" i="20"/>
  <c r="L17" i="20"/>
  <c r="K17" i="20"/>
  <c r="J17" i="20"/>
  <c r="I17" i="20"/>
  <c r="H17" i="20"/>
  <c r="AM17" i="5"/>
  <c r="Q16" i="20"/>
  <c r="AU17" i="5"/>
  <c r="R16" i="20"/>
  <c r="S16" i="20"/>
  <c r="AL17" i="2"/>
  <c r="P16" i="20"/>
  <c r="C16" i="20"/>
  <c r="D16" i="20"/>
  <c r="E16" i="20"/>
  <c r="F16" i="20"/>
  <c r="N16" i="20"/>
  <c r="O16" i="20"/>
  <c r="M16" i="20"/>
  <c r="L16" i="20"/>
  <c r="K16" i="20"/>
  <c r="J16" i="20"/>
  <c r="I16" i="20"/>
  <c r="H16" i="20"/>
  <c r="AM16" i="5"/>
  <c r="Q15" i="20"/>
  <c r="AU16" i="5"/>
  <c r="R15" i="20"/>
  <c r="S15" i="20"/>
  <c r="AL16" i="2"/>
  <c r="P15" i="20"/>
  <c r="C15" i="20"/>
  <c r="D15" i="20"/>
  <c r="E15" i="20"/>
  <c r="F15" i="20"/>
  <c r="N15" i="20"/>
  <c r="O15" i="20"/>
  <c r="M15" i="20"/>
  <c r="L15" i="20"/>
  <c r="K15" i="20"/>
  <c r="J15" i="20"/>
  <c r="I15" i="20"/>
  <c r="H15" i="20"/>
  <c r="AU15" i="5"/>
  <c r="R14" i="20"/>
  <c r="S14" i="20"/>
  <c r="AL15" i="2"/>
  <c r="P14" i="20"/>
  <c r="C14" i="20"/>
  <c r="D14" i="20"/>
  <c r="E14" i="20"/>
  <c r="F14" i="20"/>
  <c r="N14" i="20"/>
  <c r="O14" i="20"/>
  <c r="M14" i="20"/>
  <c r="L14" i="20"/>
  <c r="K14" i="20"/>
  <c r="J14" i="20"/>
  <c r="I14" i="20"/>
  <c r="H14" i="20"/>
  <c r="AM14" i="5"/>
  <c r="Q13" i="20"/>
  <c r="AU14" i="5"/>
  <c r="R13" i="20"/>
  <c r="S13" i="20"/>
  <c r="AL14" i="2"/>
  <c r="P13" i="20"/>
  <c r="C13" i="20"/>
  <c r="D13" i="20"/>
  <c r="E13" i="20"/>
  <c r="F13" i="20"/>
  <c r="N13" i="20"/>
  <c r="O13" i="20"/>
  <c r="M13" i="20"/>
  <c r="L13" i="20"/>
  <c r="K13" i="20"/>
  <c r="J13" i="20"/>
  <c r="I13" i="20"/>
  <c r="H13" i="20"/>
  <c r="AM13" i="5"/>
  <c r="Q12" i="20"/>
  <c r="AU13" i="5"/>
  <c r="R12" i="20"/>
  <c r="S12" i="20"/>
  <c r="AL13" i="2"/>
  <c r="P12" i="20"/>
  <c r="C12" i="20"/>
  <c r="D12" i="20"/>
  <c r="E12" i="20"/>
  <c r="F12" i="20"/>
  <c r="N12" i="20"/>
  <c r="O12" i="20"/>
  <c r="M12" i="20"/>
  <c r="L12" i="20"/>
  <c r="K12" i="20"/>
  <c r="J12" i="20"/>
  <c r="I12" i="20"/>
  <c r="H12" i="20"/>
  <c r="AM12" i="5"/>
  <c r="Q11" i="20"/>
  <c r="AU12" i="5"/>
  <c r="R11" i="20"/>
  <c r="S11" i="20"/>
  <c r="AL12" i="2"/>
  <c r="P11" i="20"/>
  <c r="C11" i="20"/>
  <c r="D11" i="20"/>
  <c r="E11" i="20"/>
  <c r="F11" i="20"/>
  <c r="N11" i="20"/>
  <c r="O11" i="20"/>
  <c r="M11" i="20"/>
  <c r="L11" i="20"/>
  <c r="K11" i="20"/>
  <c r="J11" i="20"/>
  <c r="I11" i="20"/>
  <c r="H11" i="20"/>
  <c r="AM11" i="5"/>
  <c r="Q10" i="20"/>
  <c r="AU11" i="5"/>
  <c r="R10" i="20"/>
  <c r="S10" i="20"/>
  <c r="AL11" i="2"/>
  <c r="P10" i="20"/>
  <c r="C10" i="20"/>
  <c r="D10" i="20"/>
  <c r="E10" i="20"/>
  <c r="F10" i="20"/>
  <c r="N10" i="20"/>
  <c r="O10" i="20"/>
  <c r="M10" i="20"/>
  <c r="L10" i="20"/>
  <c r="K10" i="20"/>
  <c r="J10" i="20"/>
  <c r="I10" i="20"/>
  <c r="H10" i="20"/>
  <c r="AM10" i="5"/>
  <c r="Q9" i="20"/>
  <c r="AU10" i="5"/>
  <c r="R9" i="20"/>
  <c r="S9" i="20"/>
  <c r="AL10" i="2"/>
  <c r="P9" i="20"/>
  <c r="C9" i="20"/>
  <c r="D9" i="20"/>
  <c r="E9" i="20"/>
  <c r="F9" i="20"/>
  <c r="N9" i="20"/>
  <c r="O9" i="20"/>
  <c r="M9" i="20"/>
  <c r="L9" i="20"/>
  <c r="K9" i="20"/>
  <c r="J9" i="20"/>
  <c r="I9" i="20"/>
  <c r="H9" i="20"/>
  <c r="AM9" i="5"/>
  <c r="Q8" i="20"/>
  <c r="AU9" i="5"/>
  <c r="R8" i="20"/>
  <c r="S8" i="20"/>
  <c r="AL9" i="2"/>
  <c r="P8" i="20"/>
  <c r="C8" i="20"/>
  <c r="D8" i="20"/>
  <c r="E8" i="20"/>
  <c r="F8" i="20"/>
  <c r="N8" i="20"/>
  <c r="O8" i="20"/>
  <c r="M8" i="20"/>
  <c r="L8" i="20"/>
  <c r="K8" i="20"/>
  <c r="J8" i="20"/>
  <c r="I8" i="20"/>
  <c r="H8" i="20"/>
  <c r="AM8" i="5"/>
  <c r="Q7" i="20"/>
  <c r="AU8" i="5"/>
  <c r="R7" i="20"/>
  <c r="S7" i="20"/>
  <c r="AL8" i="2"/>
  <c r="P7" i="20"/>
  <c r="C7" i="20"/>
  <c r="D7" i="20"/>
  <c r="E7" i="20"/>
  <c r="F7" i="20"/>
  <c r="N7" i="20"/>
  <c r="O7" i="20"/>
  <c r="M7" i="20"/>
  <c r="L7" i="20"/>
  <c r="K7" i="20"/>
  <c r="J7" i="20"/>
  <c r="I7" i="20"/>
  <c r="H7" i="20"/>
  <c r="AM7" i="5"/>
  <c r="Q6" i="20"/>
  <c r="AU7" i="5"/>
  <c r="R6" i="20"/>
  <c r="S6" i="20"/>
  <c r="AL7" i="2"/>
  <c r="P6" i="20"/>
  <c r="C6" i="20"/>
  <c r="D6" i="20"/>
  <c r="E6" i="20"/>
  <c r="F6" i="20"/>
  <c r="N6" i="20"/>
  <c r="O6" i="20"/>
  <c r="M6" i="20"/>
  <c r="L6" i="20"/>
  <c r="K6" i="20"/>
  <c r="J6" i="20"/>
  <c r="I6" i="20"/>
  <c r="H6" i="20"/>
  <c r="C3" i="20"/>
  <c r="D3" i="20"/>
  <c r="E3" i="20"/>
  <c r="F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F11" i="19"/>
  <c r="E11" i="19"/>
  <c r="D11" i="19"/>
  <c r="E2" i="19"/>
  <c r="F2" i="19"/>
  <c r="D76" i="18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S76" i="18"/>
  <c r="T76" i="18"/>
  <c r="U76" i="18"/>
  <c r="V76" i="18"/>
  <c r="W76" i="18"/>
  <c r="X76" i="18"/>
  <c r="Y76" i="18"/>
  <c r="AA76" i="18"/>
  <c r="AB76" i="18"/>
  <c r="AC76" i="18"/>
  <c r="AE76" i="18"/>
  <c r="AF76" i="18"/>
  <c r="AG76" i="18"/>
  <c r="AH76" i="18"/>
  <c r="AI76" i="18"/>
  <c r="AJ76" i="18"/>
  <c r="AK76" i="18"/>
  <c r="AL76" i="18"/>
  <c r="AM76" i="18"/>
  <c r="AN76" i="18"/>
  <c r="AO76" i="18"/>
  <c r="AP76" i="18"/>
  <c r="AQ76" i="18"/>
  <c r="AR76" i="18"/>
  <c r="AS76" i="18"/>
  <c r="AT76" i="18"/>
  <c r="AU76" i="18"/>
  <c r="AW76" i="18"/>
  <c r="AX76" i="18"/>
  <c r="AY76" i="18"/>
  <c r="AZ76" i="18"/>
  <c r="BA76" i="18"/>
  <c r="BB76" i="18"/>
  <c r="BC76" i="18"/>
  <c r="BD76" i="18"/>
  <c r="BE76" i="18"/>
  <c r="BF76" i="18"/>
  <c r="BG76" i="18"/>
  <c r="BH76" i="18"/>
  <c r="BI7" i="18"/>
  <c r="BI8" i="18"/>
  <c r="BI9" i="18"/>
  <c r="BI10" i="18"/>
  <c r="BI11" i="18"/>
  <c r="BI12" i="18"/>
  <c r="BI13" i="18"/>
  <c r="BI14" i="18"/>
  <c r="BI15" i="18"/>
  <c r="BI16" i="18"/>
  <c r="BI17" i="18"/>
  <c r="BI18" i="18"/>
  <c r="BI19" i="18"/>
  <c r="BI20" i="18"/>
  <c r="BI21" i="18"/>
  <c r="BI22" i="18"/>
  <c r="BI23" i="18"/>
  <c r="BI24" i="18"/>
  <c r="BI25" i="18"/>
  <c r="BI26" i="18"/>
  <c r="BI27" i="18"/>
  <c r="BI28" i="18"/>
  <c r="BI29" i="18"/>
  <c r="BI30" i="18"/>
  <c r="BI31" i="18"/>
  <c r="BI32" i="18"/>
  <c r="BI33" i="18"/>
  <c r="BI34" i="18"/>
  <c r="BI35" i="18"/>
  <c r="BI36" i="18"/>
  <c r="BI37" i="18"/>
  <c r="BI38" i="18"/>
  <c r="BI39" i="18"/>
  <c r="BI40" i="18"/>
  <c r="BI41" i="18"/>
  <c r="BI42" i="18"/>
  <c r="BI43" i="18"/>
  <c r="BI44" i="18"/>
  <c r="BI45" i="18"/>
  <c r="BI46" i="18"/>
  <c r="BI47" i="18"/>
  <c r="BI48" i="18"/>
  <c r="BI49" i="18"/>
  <c r="BI50" i="18"/>
  <c r="BI51" i="18"/>
  <c r="BI52" i="18"/>
  <c r="BI53" i="18"/>
  <c r="BI54" i="18"/>
  <c r="BI55" i="18"/>
  <c r="BI56" i="18"/>
  <c r="BI57" i="18"/>
  <c r="BI58" i="18"/>
  <c r="BI59" i="18"/>
  <c r="BI60" i="18"/>
  <c r="BI61" i="18"/>
  <c r="BI62" i="18"/>
  <c r="BI63" i="18"/>
  <c r="BI64" i="18"/>
  <c r="BI65" i="18"/>
  <c r="BI66" i="18"/>
  <c r="BI67" i="18"/>
  <c r="BI68" i="18"/>
  <c r="BI69" i="18"/>
  <c r="BI70" i="18"/>
  <c r="BI71" i="18"/>
  <c r="BI72" i="18"/>
  <c r="BI73" i="18"/>
  <c r="BI74" i="18"/>
  <c r="BI75" i="18"/>
  <c r="BI76" i="18"/>
  <c r="AV76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AK4" i="18"/>
  <c r="AL4" i="18"/>
  <c r="AM4" i="18"/>
  <c r="AN4" i="18"/>
  <c r="AG4" i="18"/>
  <c r="AH4" i="18"/>
  <c r="AI4" i="18"/>
  <c r="AA4" i="18"/>
  <c r="AB4" i="18"/>
  <c r="S4" i="18"/>
  <c r="T4" i="18"/>
  <c r="U4" i="18"/>
  <c r="V4" i="18"/>
  <c r="W4" i="18"/>
  <c r="X4" i="18"/>
  <c r="Y4" i="18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S76" i="17"/>
  <c r="W76" i="17"/>
  <c r="J76" i="17"/>
  <c r="L76" i="17"/>
  <c r="P76" i="17"/>
  <c r="AS76" i="17"/>
  <c r="AT76" i="17"/>
  <c r="AR76" i="17"/>
  <c r="AI76" i="17"/>
  <c r="AQ76" i="17"/>
  <c r="AH76" i="17"/>
  <c r="AP76" i="17"/>
  <c r="AO76" i="17"/>
  <c r="AL76" i="17"/>
  <c r="AN76" i="17"/>
  <c r="AJ76" i="17"/>
  <c r="AE76" i="17"/>
  <c r="Q76" i="17"/>
  <c r="AC76" i="17"/>
  <c r="X76" i="17"/>
  <c r="AB76" i="17"/>
  <c r="AA7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75" i="17"/>
  <c r="Z76" i="17"/>
  <c r="Y7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49" i="17"/>
  <c r="U50" i="17"/>
  <c r="U51" i="17"/>
  <c r="U52" i="17"/>
  <c r="U53" i="17"/>
  <c r="U54" i="17"/>
  <c r="U55" i="17"/>
  <c r="U56" i="17"/>
  <c r="U57" i="17"/>
  <c r="U58" i="17"/>
  <c r="U59" i="17"/>
  <c r="U60" i="17"/>
  <c r="U61" i="17"/>
  <c r="U62" i="17"/>
  <c r="U63" i="17"/>
  <c r="U64" i="17"/>
  <c r="U65" i="17"/>
  <c r="U66" i="17"/>
  <c r="U67" i="17"/>
  <c r="U68" i="17"/>
  <c r="U69" i="17"/>
  <c r="U70" i="17"/>
  <c r="U71" i="17"/>
  <c r="U72" i="17"/>
  <c r="U73" i="17"/>
  <c r="U74" i="17"/>
  <c r="U75" i="17"/>
  <c r="U7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H76" i="17"/>
  <c r="F76" i="17"/>
  <c r="G76" i="17"/>
  <c r="D76" i="17"/>
  <c r="C76" i="17"/>
  <c r="AT75" i="17"/>
  <c r="AQ75" i="17"/>
  <c r="AP75" i="17"/>
  <c r="AN75" i="17"/>
  <c r="AD75" i="17"/>
  <c r="AC75" i="17"/>
  <c r="AB75" i="17"/>
  <c r="I75" i="17"/>
  <c r="K75" i="17"/>
  <c r="R75" i="17"/>
  <c r="Y75" i="17"/>
  <c r="G75" i="17"/>
  <c r="AT74" i="17"/>
  <c r="AQ74" i="17"/>
  <c r="AP74" i="17"/>
  <c r="AN74" i="17"/>
  <c r="AD74" i="17"/>
  <c r="AC74" i="17"/>
  <c r="AB74" i="17"/>
  <c r="I74" i="17"/>
  <c r="K74" i="17"/>
  <c r="R74" i="17"/>
  <c r="Y74" i="17"/>
  <c r="G74" i="17"/>
  <c r="AT73" i="17"/>
  <c r="AQ73" i="17"/>
  <c r="AP73" i="17"/>
  <c r="AN73" i="17"/>
  <c r="AD73" i="17"/>
  <c r="AC73" i="17"/>
  <c r="AB73" i="17"/>
  <c r="I73" i="17"/>
  <c r="K73" i="17"/>
  <c r="R73" i="17"/>
  <c r="Y73" i="17"/>
  <c r="G73" i="17"/>
  <c r="AT72" i="17"/>
  <c r="AQ72" i="17"/>
  <c r="AP72" i="17"/>
  <c r="AN72" i="17"/>
  <c r="AD72" i="17"/>
  <c r="AC72" i="17"/>
  <c r="AB72" i="17"/>
  <c r="I72" i="17"/>
  <c r="K72" i="17"/>
  <c r="R72" i="17"/>
  <c r="Y72" i="17"/>
  <c r="G72" i="17"/>
  <c r="AT71" i="17"/>
  <c r="AQ71" i="17"/>
  <c r="AP71" i="17"/>
  <c r="AN71" i="17"/>
  <c r="AD71" i="17"/>
  <c r="AC71" i="17"/>
  <c r="AB71" i="17"/>
  <c r="I71" i="17"/>
  <c r="K71" i="17"/>
  <c r="R71" i="17"/>
  <c r="Y71" i="17"/>
  <c r="G71" i="17"/>
  <c r="AT70" i="17"/>
  <c r="AQ70" i="17"/>
  <c r="AP70" i="17"/>
  <c r="AN70" i="17"/>
  <c r="AD70" i="17"/>
  <c r="AC70" i="17"/>
  <c r="AB70" i="17"/>
  <c r="I70" i="17"/>
  <c r="K70" i="17"/>
  <c r="R70" i="17"/>
  <c r="Y70" i="17"/>
  <c r="G70" i="17"/>
  <c r="AT69" i="17"/>
  <c r="AQ69" i="17"/>
  <c r="AP69" i="17"/>
  <c r="AN69" i="17"/>
  <c r="AD69" i="17"/>
  <c r="AC69" i="17"/>
  <c r="AB69" i="17"/>
  <c r="I69" i="17"/>
  <c r="K69" i="17"/>
  <c r="R69" i="17"/>
  <c r="Y69" i="17"/>
  <c r="G69" i="17"/>
  <c r="AT68" i="17"/>
  <c r="AQ68" i="17"/>
  <c r="AP68" i="17"/>
  <c r="AN68" i="17"/>
  <c r="AD68" i="17"/>
  <c r="AC68" i="17"/>
  <c r="AB68" i="17"/>
  <c r="I68" i="17"/>
  <c r="K68" i="17"/>
  <c r="R68" i="17"/>
  <c r="Y68" i="17"/>
  <c r="G68" i="17"/>
  <c r="AT67" i="17"/>
  <c r="AQ67" i="17"/>
  <c r="AP67" i="17"/>
  <c r="AN67" i="17"/>
  <c r="AD67" i="17"/>
  <c r="AC67" i="17"/>
  <c r="AB67" i="17"/>
  <c r="I67" i="17"/>
  <c r="K67" i="17"/>
  <c r="R67" i="17"/>
  <c r="Y67" i="17"/>
  <c r="G67" i="17"/>
  <c r="AT66" i="17"/>
  <c r="AQ66" i="17"/>
  <c r="AP66" i="17"/>
  <c r="AN66" i="17"/>
  <c r="AD66" i="17"/>
  <c r="AC66" i="17"/>
  <c r="AB66" i="17"/>
  <c r="I66" i="17"/>
  <c r="K66" i="17"/>
  <c r="R66" i="17"/>
  <c r="Y66" i="17"/>
  <c r="G66" i="17"/>
  <c r="AT65" i="17"/>
  <c r="AQ65" i="17"/>
  <c r="AP65" i="17"/>
  <c r="AN65" i="17"/>
  <c r="AD65" i="17"/>
  <c r="AC65" i="17"/>
  <c r="AB65" i="17"/>
  <c r="I65" i="17"/>
  <c r="K65" i="17"/>
  <c r="R65" i="17"/>
  <c r="Y65" i="17"/>
  <c r="G65" i="17"/>
  <c r="AT64" i="17"/>
  <c r="AQ64" i="17"/>
  <c r="AP64" i="17"/>
  <c r="AN64" i="17"/>
  <c r="AD64" i="17"/>
  <c r="AC64" i="17"/>
  <c r="AB64" i="17"/>
  <c r="I64" i="17"/>
  <c r="K64" i="17"/>
  <c r="R64" i="17"/>
  <c r="Y64" i="17"/>
  <c r="G64" i="17"/>
  <c r="AT63" i="17"/>
  <c r="AQ63" i="17"/>
  <c r="AP63" i="17"/>
  <c r="AN63" i="17"/>
  <c r="AD63" i="17"/>
  <c r="AC63" i="17"/>
  <c r="AB63" i="17"/>
  <c r="I63" i="17"/>
  <c r="K63" i="17"/>
  <c r="R63" i="17"/>
  <c r="Y63" i="17"/>
  <c r="G63" i="17"/>
  <c r="AT62" i="17"/>
  <c r="AQ62" i="17"/>
  <c r="AP62" i="17"/>
  <c r="AN62" i="17"/>
  <c r="AD62" i="17"/>
  <c r="AC62" i="17"/>
  <c r="AB62" i="17"/>
  <c r="I62" i="17"/>
  <c r="K62" i="17"/>
  <c r="R62" i="17"/>
  <c r="Y62" i="17"/>
  <c r="G62" i="17"/>
  <c r="AT61" i="17"/>
  <c r="AQ61" i="17"/>
  <c r="AP61" i="17"/>
  <c r="AN61" i="17"/>
  <c r="AD61" i="17"/>
  <c r="AC61" i="17"/>
  <c r="AB61" i="17"/>
  <c r="I61" i="17"/>
  <c r="K61" i="17"/>
  <c r="R61" i="17"/>
  <c r="Y61" i="17"/>
  <c r="G61" i="17"/>
  <c r="AT60" i="17"/>
  <c r="AQ60" i="17"/>
  <c r="AP60" i="17"/>
  <c r="AN60" i="17"/>
  <c r="AD60" i="17"/>
  <c r="AC60" i="17"/>
  <c r="AB60" i="17"/>
  <c r="I60" i="17"/>
  <c r="K60" i="17"/>
  <c r="R60" i="17"/>
  <c r="Y60" i="17"/>
  <c r="G60" i="17"/>
  <c r="AT59" i="17"/>
  <c r="AQ59" i="17"/>
  <c r="AP59" i="17"/>
  <c r="AN59" i="17"/>
  <c r="AD59" i="17"/>
  <c r="AC59" i="17"/>
  <c r="AB59" i="17"/>
  <c r="I59" i="17"/>
  <c r="K59" i="17"/>
  <c r="R59" i="17"/>
  <c r="Y59" i="17"/>
  <c r="G59" i="17"/>
  <c r="AT58" i="17"/>
  <c r="AQ58" i="17"/>
  <c r="AP58" i="17"/>
  <c r="AN58" i="17"/>
  <c r="AD58" i="17"/>
  <c r="AC58" i="17"/>
  <c r="AB58" i="17"/>
  <c r="I58" i="17"/>
  <c r="K58" i="17"/>
  <c r="R58" i="17"/>
  <c r="Y58" i="17"/>
  <c r="G58" i="17"/>
  <c r="AT57" i="17"/>
  <c r="AQ57" i="17"/>
  <c r="AP57" i="17"/>
  <c r="AN57" i="17"/>
  <c r="AD57" i="17"/>
  <c r="AC57" i="17"/>
  <c r="AB57" i="17"/>
  <c r="I57" i="17"/>
  <c r="K57" i="17"/>
  <c r="R57" i="17"/>
  <c r="Y57" i="17"/>
  <c r="G57" i="17"/>
  <c r="AT56" i="17"/>
  <c r="AQ56" i="17"/>
  <c r="AP56" i="17"/>
  <c r="AN56" i="17"/>
  <c r="AD56" i="17"/>
  <c r="AC56" i="17"/>
  <c r="AB56" i="17"/>
  <c r="I56" i="17"/>
  <c r="K56" i="17"/>
  <c r="R56" i="17"/>
  <c r="Y56" i="17"/>
  <c r="G56" i="17"/>
  <c r="AT55" i="17"/>
  <c r="AQ55" i="17"/>
  <c r="AP55" i="17"/>
  <c r="AN55" i="17"/>
  <c r="AD55" i="17"/>
  <c r="AC55" i="17"/>
  <c r="AB55" i="17"/>
  <c r="I55" i="17"/>
  <c r="K55" i="17"/>
  <c r="R55" i="17"/>
  <c r="Y55" i="17"/>
  <c r="G55" i="17"/>
  <c r="AT54" i="17"/>
  <c r="AQ54" i="17"/>
  <c r="AP54" i="17"/>
  <c r="AN54" i="17"/>
  <c r="AD54" i="17"/>
  <c r="AC54" i="17"/>
  <c r="AB54" i="17"/>
  <c r="I54" i="17"/>
  <c r="K54" i="17"/>
  <c r="R54" i="17"/>
  <c r="Y54" i="17"/>
  <c r="G54" i="17"/>
  <c r="AT53" i="17"/>
  <c r="AQ53" i="17"/>
  <c r="AP53" i="17"/>
  <c r="AN53" i="17"/>
  <c r="AD53" i="17"/>
  <c r="AC53" i="17"/>
  <c r="AB53" i="17"/>
  <c r="I53" i="17"/>
  <c r="K53" i="17"/>
  <c r="R53" i="17"/>
  <c r="Y53" i="17"/>
  <c r="G53" i="17"/>
  <c r="AT52" i="17"/>
  <c r="AQ52" i="17"/>
  <c r="AP52" i="17"/>
  <c r="AN52" i="17"/>
  <c r="AD52" i="17"/>
  <c r="AC52" i="17"/>
  <c r="AB52" i="17"/>
  <c r="I52" i="17"/>
  <c r="K52" i="17"/>
  <c r="R52" i="17"/>
  <c r="Y52" i="17"/>
  <c r="G52" i="17"/>
  <c r="AT51" i="17"/>
  <c r="AQ51" i="17"/>
  <c r="AP51" i="17"/>
  <c r="AN51" i="17"/>
  <c r="AD51" i="17"/>
  <c r="AC51" i="17"/>
  <c r="AB51" i="17"/>
  <c r="I51" i="17"/>
  <c r="K51" i="17"/>
  <c r="R51" i="17"/>
  <c r="Y51" i="17"/>
  <c r="G51" i="17"/>
  <c r="AT50" i="17"/>
  <c r="AQ50" i="17"/>
  <c r="AP50" i="17"/>
  <c r="AN50" i="17"/>
  <c r="AD50" i="17"/>
  <c r="AC50" i="17"/>
  <c r="AB50" i="17"/>
  <c r="I50" i="17"/>
  <c r="K50" i="17"/>
  <c r="R50" i="17"/>
  <c r="Y50" i="17"/>
  <c r="G50" i="17"/>
  <c r="AT49" i="17"/>
  <c r="AQ49" i="17"/>
  <c r="AP49" i="17"/>
  <c r="AN49" i="17"/>
  <c r="AD49" i="17"/>
  <c r="AC49" i="17"/>
  <c r="AB49" i="17"/>
  <c r="I49" i="17"/>
  <c r="K49" i="17"/>
  <c r="R49" i="17"/>
  <c r="Y49" i="17"/>
  <c r="G49" i="17"/>
  <c r="AT48" i="17"/>
  <c r="AQ48" i="17"/>
  <c r="AP48" i="17"/>
  <c r="AN48" i="17"/>
  <c r="AD48" i="17"/>
  <c r="AC48" i="17"/>
  <c r="AB48" i="17"/>
  <c r="I48" i="17"/>
  <c r="K48" i="17"/>
  <c r="R48" i="17"/>
  <c r="Y48" i="17"/>
  <c r="G48" i="17"/>
  <c r="AT47" i="17"/>
  <c r="AQ47" i="17"/>
  <c r="AP47" i="17"/>
  <c r="AN47" i="17"/>
  <c r="AD47" i="17"/>
  <c r="AC47" i="17"/>
  <c r="AB47" i="17"/>
  <c r="I47" i="17"/>
  <c r="K47" i="17"/>
  <c r="R47" i="17"/>
  <c r="Y47" i="17"/>
  <c r="G47" i="17"/>
  <c r="AT46" i="17"/>
  <c r="AQ46" i="17"/>
  <c r="AP46" i="17"/>
  <c r="AN46" i="17"/>
  <c r="AD46" i="17"/>
  <c r="AC46" i="17"/>
  <c r="AB46" i="17"/>
  <c r="I46" i="17"/>
  <c r="K46" i="17"/>
  <c r="R46" i="17"/>
  <c r="Y46" i="17"/>
  <c r="G46" i="17"/>
  <c r="AT45" i="17"/>
  <c r="AQ45" i="17"/>
  <c r="AP45" i="17"/>
  <c r="AN45" i="17"/>
  <c r="AD45" i="17"/>
  <c r="AC45" i="17"/>
  <c r="AB45" i="17"/>
  <c r="I45" i="17"/>
  <c r="K45" i="17"/>
  <c r="R45" i="17"/>
  <c r="Y45" i="17"/>
  <c r="G45" i="17"/>
  <c r="AT44" i="17"/>
  <c r="AQ44" i="17"/>
  <c r="AP44" i="17"/>
  <c r="AN44" i="17"/>
  <c r="AD44" i="17"/>
  <c r="AC44" i="17"/>
  <c r="AB44" i="17"/>
  <c r="I44" i="17"/>
  <c r="K44" i="17"/>
  <c r="R44" i="17"/>
  <c r="Y44" i="17"/>
  <c r="G44" i="17"/>
  <c r="AT43" i="17"/>
  <c r="AQ43" i="17"/>
  <c r="AP43" i="17"/>
  <c r="AN43" i="17"/>
  <c r="AD43" i="17"/>
  <c r="AC43" i="17"/>
  <c r="AB43" i="17"/>
  <c r="I43" i="17"/>
  <c r="K43" i="17"/>
  <c r="R43" i="17"/>
  <c r="Y43" i="17"/>
  <c r="G43" i="17"/>
  <c r="AT42" i="17"/>
  <c r="AQ42" i="17"/>
  <c r="AP42" i="17"/>
  <c r="AN42" i="17"/>
  <c r="AD42" i="17"/>
  <c r="AC42" i="17"/>
  <c r="AB42" i="17"/>
  <c r="I42" i="17"/>
  <c r="K42" i="17"/>
  <c r="R42" i="17"/>
  <c r="Y42" i="17"/>
  <c r="G42" i="17"/>
  <c r="AT41" i="17"/>
  <c r="AQ41" i="17"/>
  <c r="AP41" i="17"/>
  <c r="AN41" i="17"/>
  <c r="AD41" i="17"/>
  <c r="AC41" i="17"/>
  <c r="AB41" i="17"/>
  <c r="I41" i="17"/>
  <c r="K41" i="17"/>
  <c r="R41" i="17"/>
  <c r="Y41" i="17"/>
  <c r="G41" i="17"/>
  <c r="AT40" i="17"/>
  <c r="AQ40" i="17"/>
  <c r="AP40" i="17"/>
  <c r="AN40" i="17"/>
  <c r="AD40" i="17"/>
  <c r="AC40" i="17"/>
  <c r="AB40" i="17"/>
  <c r="I40" i="17"/>
  <c r="K40" i="17"/>
  <c r="R40" i="17"/>
  <c r="Y40" i="17"/>
  <c r="G40" i="17"/>
  <c r="AT39" i="17"/>
  <c r="AQ39" i="17"/>
  <c r="AP39" i="17"/>
  <c r="AN39" i="17"/>
  <c r="AD39" i="17"/>
  <c r="AC39" i="17"/>
  <c r="AB39" i="17"/>
  <c r="I39" i="17"/>
  <c r="K39" i="17"/>
  <c r="R39" i="17"/>
  <c r="Y39" i="17"/>
  <c r="G39" i="17"/>
  <c r="AT38" i="17"/>
  <c r="AQ38" i="17"/>
  <c r="AP38" i="17"/>
  <c r="AN38" i="17"/>
  <c r="AD38" i="17"/>
  <c r="AC38" i="17"/>
  <c r="AB38" i="17"/>
  <c r="I38" i="17"/>
  <c r="K38" i="17"/>
  <c r="R38" i="17"/>
  <c r="Y38" i="17"/>
  <c r="G38" i="17"/>
  <c r="AT37" i="17"/>
  <c r="AQ37" i="17"/>
  <c r="AP37" i="17"/>
  <c r="AN37" i="17"/>
  <c r="AD37" i="17"/>
  <c r="AC37" i="17"/>
  <c r="AB37" i="17"/>
  <c r="I37" i="17"/>
  <c r="K37" i="17"/>
  <c r="R37" i="17"/>
  <c r="Y37" i="17"/>
  <c r="G37" i="17"/>
  <c r="AT36" i="17"/>
  <c r="AQ36" i="17"/>
  <c r="AP36" i="17"/>
  <c r="AN36" i="17"/>
  <c r="AD36" i="17"/>
  <c r="AC36" i="17"/>
  <c r="AB36" i="17"/>
  <c r="I36" i="17"/>
  <c r="K36" i="17"/>
  <c r="R36" i="17"/>
  <c r="Y36" i="17"/>
  <c r="G36" i="17"/>
  <c r="AT35" i="17"/>
  <c r="AQ35" i="17"/>
  <c r="AP35" i="17"/>
  <c r="AN35" i="17"/>
  <c r="AD35" i="17"/>
  <c r="AC35" i="17"/>
  <c r="AB35" i="17"/>
  <c r="I35" i="17"/>
  <c r="K35" i="17"/>
  <c r="R35" i="17"/>
  <c r="Y35" i="17"/>
  <c r="G35" i="17"/>
  <c r="AT34" i="17"/>
  <c r="AQ34" i="17"/>
  <c r="AP34" i="17"/>
  <c r="AN34" i="17"/>
  <c r="AD34" i="17"/>
  <c r="AC34" i="17"/>
  <c r="AB34" i="17"/>
  <c r="I34" i="17"/>
  <c r="K34" i="17"/>
  <c r="R34" i="17"/>
  <c r="Y34" i="17"/>
  <c r="G34" i="17"/>
  <c r="AT33" i="17"/>
  <c r="AQ33" i="17"/>
  <c r="AP33" i="17"/>
  <c r="AN33" i="17"/>
  <c r="AD33" i="17"/>
  <c r="AC33" i="17"/>
  <c r="AB33" i="17"/>
  <c r="I33" i="17"/>
  <c r="K33" i="17"/>
  <c r="R33" i="17"/>
  <c r="Y33" i="17"/>
  <c r="G33" i="17"/>
  <c r="AT32" i="17"/>
  <c r="AQ32" i="17"/>
  <c r="AP32" i="17"/>
  <c r="AN32" i="17"/>
  <c r="AD32" i="17"/>
  <c r="AC32" i="17"/>
  <c r="AB32" i="17"/>
  <c r="I32" i="17"/>
  <c r="K32" i="17"/>
  <c r="R32" i="17"/>
  <c r="Y32" i="17"/>
  <c r="G32" i="17"/>
  <c r="AT31" i="17"/>
  <c r="AQ31" i="17"/>
  <c r="AP31" i="17"/>
  <c r="AN31" i="17"/>
  <c r="AD31" i="17"/>
  <c r="AC31" i="17"/>
  <c r="AB31" i="17"/>
  <c r="I31" i="17"/>
  <c r="K31" i="17"/>
  <c r="R31" i="17"/>
  <c r="Y31" i="17"/>
  <c r="G31" i="17"/>
  <c r="AT30" i="17"/>
  <c r="AQ30" i="17"/>
  <c r="AP30" i="17"/>
  <c r="AN30" i="17"/>
  <c r="AD30" i="17"/>
  <c r="AC30" i="17"/>
  <c r="AB30" i="17"/>
  <c r="I30" i="17"/>
  <c r="K30" i="17"/>
  <c r="R30" i="17"/>
  <c r="Y30" i="17"/>
  <c r="G30" i="17"/>
  <c r="AT29" i="17"/>
  <c r="AQ29" i="17"/>
  <c r="AP29" i="17"/>
  <c r="AN29" i="17"/>
  <c r="AD29" i="17"/>
  <c r="AC29" i="17"/>
  <c r="AB29" i="17"/>
  <c r="I29" i="17"/>
  <c r="K29" i="17"/>
  <c r="R29" i="17"/>
  <c r="Y29" i="17"/>
  <c r="G29" i="17"/>
  <c r="AT28" i="17"/>
  <c r="AQ28" i="17"/>
  <c r="AP28" i="17"/>
  <c r="AN28" i="17"/>
  <c r="AD28" i="17"/>
  <c r="AC28" i="17"/>
  <c r="AB28" i="17"/>
  <c r="I28" i="17"/>
  <c r="K28" i="17"/>
  <c r="R28" i="17"/>
  <c r="Y28" i="17"/>
  <c r="G28" i="17"/>
  <c r="AT27" i="17"/>
  <c r="AQ27" i="17"/>
  <c r="AP27" i="17"/>
  <c r="AN27" i="17"/>
  <c r="AD27" i="17"/>
  <c r="AC27" i="17"/>
  <c r="AB27" i="17"/>
  <c r="I27" i="17"/>
  <c r="K27" i="17"/>
  <c r="R27" i="17"/>
  <c r="Y27" i="17"/>
  <c r="G27" i="17"/>
  <c r="AT26" i="17"/>
  <c r="AQ26" i="17"/>
  <c r="AP26" i="17"/>
  <c r="AN26" i="17"/>
  <c r="AD26" i="17"/>
  <c r="AC26" i="17"/>
  <c r="AB26" i="17"/>
  <c r="I26" i="17"/>
  <c r="K26" i="17"/>
  <c r="R26" i="17"/>
  <c r="Y26" i="17"/>
  <c r="G26" i="17"/>
  <c r="AT25" i="17"/>
  <c r="AQ25" i="17"/>
  <c r="AP25" i="17"/>
  <c r="AN25" i="17"/>
  <c r="AD25" i="17"/>
  <c r="AC25" i="17"/>
  <c r="AB25" i="17"/>
  <c r="I25" i="17"/>
  <c r="K25" i="17"/>
  <c r="R25" i="17"/>
  <c r="Y25" i="17"/>
  <c r="G25" i="17"/>
  <c r="AT24" i="17"/>
  <c r="AQ24" i="17"/>
  <c r="AP24" i="17"/>
  <c r="AN24" i="17"/>
  <c r="AD24" i="17"/>
  <c r="AC24" i="17"/>
  <c r="AB24" i="17"/>
  <c r="I24" i="17"/>
  <c r="K24" i="17"/>
  <c r="R24" i="17"/>
  <c r="Y24" i="17"/>
  <c r="G24" i="17"/>
  <c r="AT23" i="17"/>
  <c r="AQ23" i="17"/>
  <c r="AP23" i="17"/>
  <c r="AN23" i="17"/>
  <c r="AD23" i="17"/>
  <c r="AC23" i="17"/>
  <c r="AB23" i="17"/>
  <c r="I23" i="17"/>
  <c r="K23" i="17"/>
  <c r="R23" i="17"/>
  <c r="Y23" i="17"/>
  <c r="G23" i="17"/>
  <c r="AT22" i="17"/>
  <c r="AQ22" i="17"/>
  <c r="AP22" i="17"/>
  <c r="AN22" i="17"/>
  <c r="AD22" i="17"/>
  <c r="AC22" i="17"/>
  <c r="AB22" i="17"/>
  <c r="I22" i="17"/>
  <c r="K22" i="17"/>
  <c r="R22" i="17"/>
  <c r="Y22" i="17"/>
  <c r="G22" i="17"/>
  <c r="AT21" i="17"/>
  <c r="AQ21" i="17"/>
  <c r="AP21" i="17"/>
  <c r="AN21" i="17"/>
  <c r="AD21" i="17"/>
  <c r="AC21" i="17"/>
  <c r="AB21" i="17"/>
  <c r="I21" i="17"/>
  <c r="K21" i="17"/>
  <c r="R21" i="17"/>
  <c r="Y21" i="17"/>
  <c r="G21" i="17"/>
  <c r="AT20" i="17"/>
  <c r="AQ20" i="17"/>
  <c r="AP20" i="17"/>
  <c r="AN20" i="17"/>
  <c r="AD20" i="17"/>
  <c r="AC20" i="17"/>
  <c r="AB20" i="17"/>
  <c r="I20" i="17"/>
  <c r="K20" i="17"/>
  <c r="R20" i="17"/>
  <c r="Y20" i="17"/>
  <c r="G20" i="17"/>
  <c r="AT19" i="17"/>
  <c r="AQ19" i="17"/>
  <c r="AP19" i="17"/>
  <c r="AN19" i="17"/>
  <c r="AD19" i="17"/>
  <c r="AC19" i="17"/>
  <c r="AB19" i="17"/>
  <c r="I19" i="17"/>
  <c r="K19" i="17"/>
  <c r="R19" i="17"/>
  <c r="Y19" i="17"/>
  <c r="G19" i="17"/>
  <c r="AT18" i="17"/>
  <c r="AQ18" i="17"/>
  <c r="AP18" i="17"/>
  <c r="AN18" i="17"/>
  <c r="AG18" i="17"/>
  <c r="AD18" i="17"/>
  <c r="AC18" i="17"/>
  <c r="AB18" i="17"/>
  <c r="I18" i="17"/>
  <c r="K18" i="17"/>
  <c r="R18" i="17"/>
  <c r="Y18" i="17"/>
  <c r="G18" i="17"/>
  <c r="AT17" i="17"/>
  <c r="AQ17" i="17"/>
  <c r="AP17" i="17"/>
  <c r="AN17" i="17"/>
  <c r="AD17" i="17"/>
  <c r="AC17" i="17"/>
  <c r="AB17" i="17"/>
  <c r="I17" i="17"/>
  <c r="K17" i="17"/>
  <c r="R17" i="17"/>
  <c r="Y17" i="17"/>
  <c r="G17" i="17"/>
  <c r="AT16" i="17"/>
  <c r="AQ16" i="17"/>
  <c r="AP16" i="17"/>
  <c r="AN16" i="17"/>
  <c r="AD16" i="17"/>
  <c r="AC16" i="17"/>
  <c r="AB16" i="17"/>
  <c r="I16" i="17"/>
  <c r="K16" i="17"/>
  <c r="R16" i="17"/>
  <c r="Y16" i="17"/>
  <c r="G16" i="17"/>
  <c r="AT15" i="17"/>
  <c r="AQ15" i="17"/>
  <c r="AP15" i="17"/>
  <c r="AN15" i="17"/>
  <c r="AD15" i="17"/>
  <c r="AC15" i="17"/>
  <c r="AB15" i="17"/>
  <c r="I15" i="17"/>
  <c r="K15" i="17"/>
  <c r="R15" i="17"/>
  <c r="Y15" i="17"/>
  <c r="G15" i="17"/>
  <c r="AT14" i="17"/>
  <c r="AQ14" i="17"/>
  <c r="AP14" i="17"/>
  <c r="AN14" i="17"/>
  <c r="AD14" i="17"/>
  <c r="AC14" i="17"/>
  <c r="AB14" i="17"/>
  <c r="I14" i="17"/>
  <c r="K14" i="17"/>
  <c r="R14" i="17"/>
  <c r="Y14" i="17"/>
  <c r="G14" i="17"/>
  <c r="AT13" i="17"/>
  <c r="AQ13" i="17"/>
  <c r="AP13" i="17"/>
  <c r="AN13" i="17"/>
  <c r="AD13" i="17"/>
  <c r="AC13" i="17"/>
  <c r="AB13" i="17"/>
  <c r="I13" i="17"/>
  <c r="K13" i="17"/>
  <c r="R13" i="17"/>
  <c r="Y13" i="17"/>
  <c r="G13" i="17"/>
  <c r="AT12" i="17"/>
  <c r="AQ12" i="17"/>
  <c r="AP12" i="17"/>
  <c r="AN12" i="17"/>
  <c r="AD12" i="17"/>
  <c r="AC12" i="17"/>
  <c r="AB12" i="17"/>
  <c r="I12" i="17"/>
  <c r="K12" i="17"/>
  <c r="R12" i="17"/>
  <c r="Y12" i="17"/>
  <c r="G12" i="17"/>
  <c r="AT11" i="17"/>
  <c r="AQ11" i="17"/>
  <c r="AP11" i="17"/>
  <c r="AN11" i="17"/>
  <c r="AD11" i="17"/>
  <c r="AC11" i="17"/>
  <c r="AB11" i="17"/>
  <c r="I11" i="17"/>
  <c r="K11" i="17"/>
  <c r="R11" i="17"/>
  <c r="Y11" i="17"/>
  <c r="G11" i="17"/>
  <c r="AT10" i="17"/>
  <c r="AQ10" i="17"/>
  <c r="AP10" i="17"/>
  <c r="AN10" i="17"/>
  <c r="AD10" i="17"/>
  <c r="AC10" i="17"/>
  <c r="AB10" i="17"/>
  <c r="I10" i="17"/>
  <c r="K10" i="17"/>
  <c r="R10" i="17"/>
  <c r="Y10" i="17"/>
  <c r="G10" i="17"/>
  <c r="AT9" i="17"/>
  <c r="AQ9" i="17"/>
  <c r="AP9" i="17"/>
  <c r="AN9" i="17"/>
  <c r="AD9" i="17"/>
  <c r="AC9" i="17"/>
  <c r="AB9" i="17"/>
  <c r="I9" i="17"/>
  <c r="K9" i="17"/>
  <c r="R9" i="17"/>
  <c r="Y9" i="17"/>
  <c r="G9" i="17"/>
  <c r="AT8" i="17"/>
  <c r="AQ8" i="17"/>
  <c r="AP8" i="17"/>
  <c r="AN8" i="17"/>
  <c r="AD8" i="17"/>
  <c r="AC8" i="17"/>
  <c r="AB8" i="17"/>
  <c r="I8" i="17"/>
  <c r="K8" i="17"/>
  <c r="R8" i="17"/>
  <c r="Y8" i="17"/>
  <c r="G8" i="17"/>
  <c r="AT7" i="17"/>
  <c r="AQ7" i="17"/>
  <c r="AP7" i="17"/>
  <c r="AN7" i="17"/>
  <c r="AD7" i="17"/>
  <c r="AC7" i="17"/>
  <c r="AB7" i="17"/>
  <c r="I7" i="17"/>
  <c r="K7" i="17"/>
  <c r="R7" i="17"/>
  <c r="Y7" i="17"/>
  <c r="G7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D4" i="17"/>
  <c r="B4" i="1"/>
  <c r="B5" i="1"/>
  <c r="B6" i="1"/>
  <c r="D7" i="7"/>
  <c r="E7" i="7"/>
  <c r="G7" i="7"/>
  <c r="I7" i="7"/>
  <c r="J7" i="7"/>
  <c r="L7" i="7"/>
  <c r="N7" i="7"/>
  <c r="O7" i="7"/>
  <c r="Q7" i="7"/>
  <c r="R7" i="7"/>
  <c r="S7" i="7"/>
  <c r="T7" i="7"/>
  <c r="U7" i="7"/>
  <c r="V7" i="7"/>
  <c r="W7" i="7"/>
  <c r="X7" i="7"/>
  <c r="Y7" i="7"/>
  <c r="AC7" i="7"/>
  <c r="AD7" i="7"/>
  <c r="AE7" i="7"/>
  <c r="AF7" i="7"/>
  <c r="AG7" i="7"/>
  <c r="AH7" i="7"/>
  <c r="AI7" i="7"/>
  <c r="AJ7" i="7"/>
  <c r="AK7" i="7"/>
  <c r="AO7" i="7"/>
  <c r="AP7" i="7"/>
  <c r="D8" i="7"/>
  <c r="E8" i="7"/>
  <c r="G8" i="7"/>
  <c r="I8" i="7"/>
  <c r="J8" i="7"/>
  <c r="L8" i="7"/>
  <c r="N8" i="7"/>
  <c r="O8" i="7"/>
  <c r="Q8" i="7"/>
  <c r="R8" i="7"/>
  <c r="S8" i="7"/>
  <c r="T8" i="7"/>
  <c r="U8" i="7"/>
  <c r="V8" i="7"/>
  <c r="W8" i="7"/>
  <c r="X8" i="7"/>
  <c r="Y8" i="7"/>
  <c r="AC8" i="7"/>
  <c r="AD8" i="7"/>
  <c r="AE8" i="7"/>
  <c r="AF8" i="7"/>
  <c r="AG8" i="7"/>
  <c r="AH8" i="7"/>
  <c r="AI8" i="7"/>
  <c r="AJ8" i="7"/>
  <c r="AK8" i="7"/>
  <c r="AO8" i="7"/>
  <c r="AP8" i="7"/>
  <c r="D9" i="7"/>
  <c r="E9" i="7"/>
  <c r="G9" i="7"/>
  <c r="I9" i="7"/>
  <c r="J9" i="7"/>
  <c r="L9" i="7"/>
  <c r="N9" i="7"/>
  <c r="O9" i="7"/>
  <c r="Q9" i="7"/>
  <c r="R9" i="7"/>
  <c r="S9" i="7"/>
  <c r="T9" i="7"/>
  <c r="U9" i="7"/>
  <c r="V9" i="7"/>
  <c r="W9" i="7"/>
  <c r="X9" i="7"/>
  <c r="Y9" i="7"/>
  <c r="AC9" i="7"/>
  <c r="AD9" i="7"/>
  <c r="AE9" i="7"/>
  <c r="AF9" i="7"/>
  <c r="AG9" i="7"/>
  <c r="AH9" i="7"/>
  <c r="AI9" i="7"/>
  <c r="AJ9" i="7"/>
  <c r="AK9" i="7"/>
  <c r="AO9" i="7"/>
  <c r="AP9" i="7"/>
  <c r="D10" i="7"/>
  <c r="E10" i="7"/>
  <c r="G10" i="7"/>
  <c r="I10" i="7"/>
  <c r="J10" i="7"/>
  <c r="L10" i="7"/>
  <c r="N10" i="7"/>
  <c r="O10" i="7"/>
  <c r="Q10" i="7"/>
  <c r="R10" i="7"/>
  <c r="S10" i="7"/>
  <c r="T10" i="7"/>
  <c r="U10" i="7"/>
  <c r="V10" i="7"/>
  <c r="W10" i="7"/>
  <c r="X10" i="7"/>
  <c r="Y10" i="7"/>
  <c r="AC10" i="7"/>
  <c r="AD10" i="7"/>
  <c r="AE10" i="7"/>
  <c r="AF10" i="7"/>
  <c r="AG10" i="7"/>
  <c r="AH10" i="7"/>
  <c r="AI10" i="7"/>
  <c r="AJ10" i="7"/>
  <c r="AK10" i="7"/>
  <c r="AO10" i="7"/>
  <c r="AP10" i="7"/>
  <c r="D11" i="7"/>
  <c r="E11" i="7"/>
  <c r="G11" i="7"/>
  <c r="I11" i="7"/>
  <c r="J11" i="7"/>
  <c r="L11" i="7"/>
  <c r="N11" i="7"/>
  <c r="O11" i="7"/>
  <c r="Q11" i="7"/>
  <c r="R11" i="7"/>
  <c r="S11" i="7"/>
  <c r="T11" i="7"/>
  <c r="U11" i="7"/>
  <c r="V11" i="7"/>
  <c r="W11" i="7"/>
  <c r="X11" i="7"/>
  <c r="Y11" i="7"/>
  <c r="AC11" i="7"/>
  <c r="AD11" i="7"/>
  <c r="AE11" i="7"/>
  <c r="AF11" i="7"/>
  <c r="AG11" i="7"/>
  <c r="AH11" i="7"/>
  <c r="AI11" i="7"/>
  <c r="AJ11" i="7"/>
  <c r="AK11" i="7"/>
  <c r="AO11" i="7"/>
  <c r="AP11" i="7"/>
  <c r="D12" i="7"/>
  <c r="E12" i="7"/>
  <c r="G12" i="7"/>
  <c r="I12" i="7"/>
  <c r="J12" i="7"/>
  <c r="L12" i="7"/>
  <c r="N12" i="7"/>
  <c r="O12" i="7"/>
  <c r="Q12" i="7"/>
  <c r="R12" i="7"/>
  <c r="S12" i="7"/>
  <c r="T12" i="7"/>
  <c r="U12" i="7"/>
  <c r="V12" i="7"/>
  <c r="W12" i="7"/>
  <c r="X12" i="7"/>
  <c r="Y12" i="7"/>
  <c r="AC12" i="7"/>
  <c r="AD12" i="7"/>
  <c r="AE12" i="7"/>
  <c r="AF12" i="7"/>
  <c r="AG12" i="7"/>
  <c r="AH12" i="7"/>
  <c r="AI12" i="7"/>
  <c r="AJ12" i="7"/>
  <c r="AK12" i="7"/>
  <c r="AO12" i="7"/>
  <c r="AP12" i="7"/>
  <c r="D13" i="7"/>
  <c r="E13" i="7"/>
  <c r="G13" i="7"/>
  <c r="I13" i="7"/>
  <c r="J13" i="7"/>
  <c r="L13" i="7"/>
  <c r="N13" i="7"/>
  <c r="O13" i="7"/>
  <c r="Q13" i="7"/>
  <c r="R13" i="7"/>
  <c r="S13" i="7"/>
  <c r="T13" i="7"/>
  <c r="U13" i="7"/>
  <c r="V13" i="7"/>
  <c r="W13" i="7"/>
  <c r="X13" i="7"/>
  <c r="Y13" i="7"/>
  <c r="AC13" i="7"/>
  <c r="AD13" i="7"/>
  <c r="AE13" i="7"/>
  <c r="AF13" i="7"/>
  <c r="AG13" i="7"/>
  <c r="AH13" i="7"/>
  <c r="AI13" i="7"/>
  <c r="AJ13" i="7"/>
  <c r="AK13" i="7"/>
  <c r="AO13" i="7"/>
  <c r="AP13" i="7"/>
  <c r="D14" i="7"/>
  <c r="E14" i="7"/>
  <c r="G14" i="7"/>
  <c r="I14" i="7"/>
  <c r="J14" i="7"/>
  <c r="L14" i="7"/>
  <c r="N14" i="7"/>
  <c r="O14" i="7"/>
  <c r="Q14" i="7"/>
  <c r="R14" i="7"/>
  <c r="S14" i="7"/>
  <c r="T14" i="7"/>
  <c r="U14" i="7"/>
  <c r="V14" i="7"/>
  <c r="W14" i="7"/>
  <c r="X14" i="7"/>
  <c r="Y14" i="7"/>
  <c r="AC14" i="7"/>
  <c r="AD14" i="7"/>
  <c r="AE14" i="7"/>
  <c r="AF14" i="7"/>
  <c r="AG14" i="7"/>
  <c r="AH14" i="7"/>
  <c r="AI14" i="7"/>
  <c r="AJ14" i="7"/>
  <c r="AK14" i="7"/>
  <c r="AO14" i="7"/>
  <c r="AP14" i="7"/>
  <c r="D15" i="7"/>
  <c r="E15" i="7"/>
  <c r="G15" i="7"/>
  <c r="I15" i="7"/>
  <c r="J15" i="7"/>
  <c r="L15" i="7"/>
  <c r="N15" i="7"/>
  <c r="O15" i="7"/>
  <c r="Q15" i="7"/>
  <c r="R15" i="7"/>
  <c r="S15" i="7"/>
  <c r="T15" i="7"/>
  <c r="U15" i="7"/>
  <c r="V15" i="7"/>
  <c r="W15" i="7"/>
  <c r="X15" i="7"/>
  <c r="Y15" i="7"/>
  <c r="AC15" i="7"/>
  <c r="AD15" i="7"/>
  <c r="AE15" i="7"/>
  <c r="AF15" i="7"/>
  <c r="AG15" i="7"/>
  <c r="AH15" i="7"/>
  <c r="AI15" i="7"/>
  <c r="AJ15" i="7"/>
  <c r="AK15" i="7"/>
  <c r="AO15" i="7"/>
  <c r="AP15" i="7"/>
  <c r="D16" i="7"/>
  <c r="E16" i="7"/>
  <c r="G16" i="7"/>
  <c r="I16" i="7"/>
  <c r="J16" i="7"/>
  <c r="L16" i="7"/>
  <c r="N16" i="7"/>
  <c r="O16" i="7"/>
  <c r="Q16" i="7"/>
  <c r="R16" i="7"/>
  <c r="S16" i="7"/>
  <c r="T16" i="7"/>
  <c r="U16" i="7"/>
  <c r="V16" i="7"/>
  <c r="W16" i="7"/>
  <c r="X16" i="7"/>
  <c r="Y16" i="7"/>
  <c r="AC16" i="7"/>
  <c r="AD16" i="7"/>
  <c r="AE16" i="7"/>
  <c r="AF16" i="7"/>
  <c r="AG16" i="7"/>
  <c r="AH16" i="7"/>
  <c r="AI16" i="7"/>
  <c r="AJ16" i="7"/>
  <c r="AK16" i="7"/>
  <c r="AO16" i="7"/>
  <c r="AP16" i="7"/>
  <c r="D17" i="7"/>
  <c r="E17" i="7"/>
  <c r="G17" i="7"/>
  <c r="I17" i="7"/>
  <c r="J17" i="7"/>
  <c r="L17" i="7"/>
  <c r="N17" i="7"/>
  <c r="O17" i="7"/>
  <c r="Q17" i="7"/>
  <c r="R17" i="7"/>
  <c r="S17" i="7"/>
  <c r="T17" i="7"/>
  <c r="U17" i="7"/>
  <c r="V17" i="7"/>
  <c r="W17" i="7"/>
  <c r="X17" i="7"/>
  <c r="Y17" i="7"/>
  <c r="AC17" i="7"/>
  <c r="AD17" i="7"/>
  <c r="AE17" i="7"/>
  <c r="AF17" i="7"/>
  <c r="AG17" i="7"/>
  <c r="AH17" i="7"/>
  <c r="AI17" i="7"/>
  <c r="AJ17" i="7"/>
  <c r="AK17" i="7"/>
  <c r="AO17" i="7"/>
  <c r="AP17" i="7"/>
  <c r="D18" i="7"/>
  <c r="E18" i="7"/>
  <c r="G18" i="7"/>
  <c r="I18" i="7"/>
  <c r="J18" i="7"/>
  <c r="L18" i="7"/>
  <c r="N18" i="7"/>
  <c r="O18" i="7"/>
  <c r="Q18" i="7"/>
  <c r="R18" i="7"/>
  <c r="S18" i="7"/>
  <c r="T18" i="7"/>
  <c r="U18" i="7"/>
  <c r="V18" i="7"/>
  <c r="W18" i="7"/>
  <c r="X18" i="7"/>
  <c r="Y18" i="7"/>
  <c r="AC18" i="7"/>
  <c r="AD18" i="7"/>
  <c r="AE18" i="7"/>
  <c r="AF18" i="7"/>
  <c r="AG18" i="7"/>
  <c r="AH18" i="7"/>
  <c r="AI18" i="7"/>
  <c r="AJ18" i="7"/>
  <c r="AK18" i="7"/>
  <c r="AO18" i="7"/>
  <c r="AP18" i="7"/>
  <c r="D19" i="7"/>
  <c r="E19" i="7"/>
  <c r="G19" i="7"/>
  <c r="I19" i="7"/>
  <c r="J19" i="7"/>
  <c r="L19" i="7"/>
  <c r="N19" i="7"/>
  <c r="O19" i="7"/>
  <c r="Q19" i="7"/>
  <c r="R19" i="7"/>
  <c r="S19" i="7"/>
  <c r="T19" i="7"/>
  <c r="U19" i="7"/>
  <c r="V19" i="7"/>
  <c r="W19" i="7"/>
  <c r="X19" i="7"/>
  <c r="Y19" i="7"/>
  <c r="AC19" i="7"/>
  <c r="AD19" i="7"/>
  <c r="AE19" i="7"/>
  <c r="AF19" i="7"/>
  <c r="AG19" i="7"/>
  <c r="AH19" i="7"/>
  <c r="AI19" i="7"/>
  <c r="AJ19" i="7"/>
  <c r="AK19" i="7"/>
  <c r="AO19" i="7"/>
  <c r="AP19" i="7"/>
  <c r="D20" i="7"/>
  <c r="E20" i="7"/>
  <c r="G20" i="7"/>
  <c r="I20" i="7"/>
  <c r="J20" i="7"/>
  <c r="L20" i="7"/>
  <c r="N20" i="7"/>
  <c r="O20" i="7"/>
  <c r="Q20" i="7"/>
  <c r="R20" i="7"/>
  <c r="S20" i="7"/>
  <c r="T20" i="7"/>
  <c r="U20" i="7"/>
  <c r="V20" i="7"/>
  <c r="W20" i="7"/>
  <c r="X20" i="7"/>
  <c r="Y20" i="7"/>
  <c r="AC20" i="7"/>
  <c r="AD20" i="7"/>
  <c r="AE20" i="7"/>
  <c r="AF20" i="7"/>
  <c r="AG20" i="7"/>
  <c r="AH20" i="7"/>
  <c r="AI20" i="7"/>
  <c r="AJ20" i="7"/>
  <c r="AK20" i="7"/>
  <c r="AO20" i="7"/>
  <c r="AP20" i="7"/>
  <c r="D21" i="7"/>
  <c r="E21" i="7"/>
  <c r="G21" i="7"/>
  <c r="I21" i="7"/>
  <c r="J21" i="7"/>
  <c r="L21" i="7"/>
  <c r="N21" i="7"/>
  <c r="O21" i="7"/>
  <c r="Q21" i="7"/>
  <c r="R21" i="7"/>
  <c r="S21" i="7"/>
  <c r="T21" i="7"/>
  <c r="U21" i="7"/>
  <c r="V21" i="7"/>
  <c r="W21" i="7"/>
  <c r="X21" i="7"/>
  <c r="Y21" i="7"/>
  <c r="AC21" i="7"/>
  <c r="AD21" i="7"/>
  <c r="AE21" i="7"/>
  <c r="AF21" i="7"/>
  <c r="AG21" i="7"/>
  <c r="AH21" i="7"/>
  <c r="AI21" i="7"/>
  <c r="AJ21" i="7"/>
  <c r="AK21" i="7"/>
  <c r="AO21" i="7"/>
  <c r="AP21" i="7"/>
  <c r="D22" i="7"/>
  <c r="E22" i="7"/>
  <c r="G22" i="7"/>
  <c r="I22" i="7"/>
  <c r="J22" i="7"/>
  <c r="L22" i="7"/>
  <c r="N22" i="7"/>
  <c r="O22" i="7"/>
  <c r="Q22" i="7"/>
  <c r="R22" i="7"/>
  <c r="S22" i="7"/>
  <c r="T22" i="7"/>
  <c r="U22" i="7"/>
  <c r="V22" i="7"/>
  <c r="W22" i="7"/>
  <c r="X22" i="7"/>
  <c r="Y22" i="7"/>
  <c r="AC22" i="7"/>
  <c r="AD22" i="7"/>
  <c r="AE22" i="7"/>
  <c r="AF22" i="7"/>
  <c r="AG22" i="7"/>
  <c r="AH22" i="7"/>
  <c r="AI22" i="7"/>
  <c r="AJ22" i="7"/>
  <c r="AK22" i="7"/>
  <c r="AO22" i="7"/>
  <c r="AP22" i="7"/>
  <c r="D23" i="7"/>
  <c r="E23" i="7"/>
  <c r="G23" i="7"/>
  <c r="I23" i="7"/>
  <c r="J23" i="7"/>
  <c r="L23" i="7"/>
  <c r="N23" i="7"/>
  <c r="O23" i="7"/>
  <c r="Q23" i="7"/>
  <c r="R23" i="7"/>
  <c r="S23" i="7"/>
  <c r="T23" i="7"/>
  <c r="U23" i="7"/>
  <c r="V23" i="7"/>
  <c r="W23" i="7"/>
  <c r="X23" i="7"/>
  <c r="Y23" i="7"/>
  <c r="AC23" i="7"/>
  <c r="AD23" i="7"/>
  <c r="AE23" i="7"/>
  <c r="AF23" i="7"/>
  <c r="AG23" i="7"/>
  <c r="AH23" i="7"/>
  <c r="AI23" i="7"/>
  <c r="AJ23" i="7"/>
  <c r="AK23" i="7"/>
  <c r="AO23" i="7"/>
  <c r="AP23" i="7"/>
  <c r="D24" i="7"/>
  <c r="E24" i="7"/>
  <c r="G24" i="7"/>
  <c r="I24" i="7"/>
  <c r="J24" i="7"/>
  <c r="L24" i="7"/>
  <c r="N24" i="7"/>
  <c r="O24" i="7"/>
  <c r="Q24" i="7"/>
  <c r="R24" i="7"/>
  <c r="S24" i="7"/>
  <c r="T24" i="7"/>
  <c r="U24" i="7"/>
  <c r="V24" i="7"/>
  <c r="W24" i="7"/>
  <c r="X24" i="7"/>
  <c r="Y24" i="7"/>
  <c r="AC24" i="7"/>
  <c r="AD24" i="7"/>
  <c r="AE24" i="7"/>
  <c r="AF24" i="7"/>
  <c r="AG24" i="7"/>
  <c r="AH24" i="7"/>
  <c r="AI24" i="7"/>
  <c r="AJ24" i="7"/>
  <c r="AK24" i="7"/>
  <c r="AO24" i="7"/>
  <c r="AP24" i="7"/>
  <c r="D25" i="7"/>
  <c r="E25" i="7"/>
  <c r="G25" i="7"/>
  <c r="I25" i="7"/>
  <c r="J25" i="7"/>
  <c r="L25" i="7"/>
  <c r="N25" i="7"/>
  <c r="O25" i="7"/>
  <c r="Q25" i="7"/>
  <c r="R25" i="7"/>
  <c r="S25" i="7"/>
  <c r="T25" i="7"/>
  <c r="U25" i="7"/>
  <c r="V25" i="7"/>
  <c r="W25" i="7"/>
  <c r="X25" i="7"/>
  <c r="Y25" i="7"/>
  <c r="AC25" i="7"/>
  <c r="AD25" i="7"/>
  <c r="AE25" i="7"/>
  <c r="AF25" i="7"/>
  <c r="AG25" i="7"/>
  <c r="AH25" i="7"/>
  <c r="AI25" i="7"/>
  <c r="AJ25" i="7"/>
  <c r="AK25" i="7"/>
  <c r="AO25" i="7"/>
  <c r="AP25" i="7"/>
  <c r="D26" i="7"/>
  <c r="E26" i="7"/>
  <c r="G26" i="7"/>
  <c r="I26" i="7"/>
  <c r="J26" i="7"/>
  <c r="L26" i="7"/>
  <c r="N26" i="7"/>
  <c r="O26" i="7"/>
  <c r="Q26" i="7"/>
  <c r="R26" i="7"/>
  <c r="S26" i="7"/>
  <c r="T26" i="7"/>
  <c r="U26" i="7"/>
  <c r="V26" i="7"/>
  <c r="W26" i="7"/>
  <c r="X26" i="7"/>
  <c r="Y26" i="7"/>
  <c r="AC26" i="7"/>
  <c r="AD26" i="7"/>
  <c r="AE26" i="7"/>
  <c r="AF26" i="7"/>
  <c r="AG26" i="7"/>
  <c r="AH26" i="7"/>
  <c r="AI26" i="7"/>
  <c r="AJ26" i="7"/>
  <c r="AK26" i="7"/>
  <c r="AO26" i="7"/>
  <c r="AP26" i="7"/>
  <c r="D27" i="7"/>
  <c r="E27" i="7"/>
  <c r="G27" i="7"/>
  <c r="I27" i="7"/>
  <c r="J27" i="7"/>
  <c r="L27" i="7"/>
  <c r="N27" i="7"/>
  <c r="O27" i="7"/>
  <c r="Q27" i="7"/>
  <c r="R27" i="7"/>
  <c r="S27" i="7"/>
  <c r="T27" i="7"/>
  <c r="U27" i="7"/>
  <c r="V27" i="7"/>
  <c r="W27" i="7"/>
  <c r="X27" i="7"/>
  <c r="Y27" i="7"/>
  <c r="AC27" i="7"/>
  <c r="AD27" i="7"/>
  <c r="AE27" i="7"/>
  <c r="AF27" i="7"/>
  <c r="AG27" i="7"/>
  <c r="AH27" i="7"/>
  <c r="AI27" i="7"/>
  <c r="AJ27" i="7"/>
  <c r="AK27" i="7"/>
  <c r="AO27" i="7"/>
  <c r="AP27" i="7"/>
  <c r="D28" i="7"/>
  <c r="E28" i="7"/>
  <c r="G28" i="7"/>
  <c r="I28" i="7"/>
  <c r="J28" i="7"/>
  <c r="L28" i="7"/>
  <c r="N28" i="7"/>
  <c r="O28" i="7"/>
  <c r="Q28" i="7"/>
  <c r="R28" i="7"/>
  <c r="S28" i="7"/>
  <c r="T28" i="7"/>
  <c r="U28" i="7"/>
  <c r="V28" i="7"/>
  <c r="W28" i="7"/>
  <c r="X28" i="7"/>
  <c r="Y28" i="7"/>
  <c r="AC28" i="7"/>
  <c r="AD28" i="7"/>
  <c r="AE28" i="7"/>
  <c r="AF28" i="7"/>
  <c r="AG28" i="7"/>
  <c r="AH28" i="7"/>
  <c r="AI28" i="7"/>
  <c r="AJ28" i="7"/>
  <c r="AK28" i="7"/>
  <c r="AO28" i="7"/>
  <c r="AP28" i="7"/>
  <c r="D29" i="7"/>
  <c r="E29" i="7"/>
  <c r="G29" i="7"/>
  <c r="I29" i="7"/>
  <c r="J29" i="7"/>
  <c r="L29" i="7"/>
  <c r="N29" i="7"/>
  <c r="O29" i="7"/>
  <c r="Q29" i="7"/>
  <c r="R29" i="7"/>
  <c r="S29" i="7"/>
  <c r="T29" i="7"/>
  <c r="U29" i="7"/>
  <c r="V29" i="7"/>
  <c r="W29" i="7"/>
  <c r="X29" i="7"/>
  <c r="Y29" i="7"/>
  <c r="AC29" i="7"/>
  <c r="AD29" i="7"/>
  <c r="AE29" i="7"/>
  <c r="AF29" i="7"/>
  <c r="AG29" i="7"/>
  <c r="AH29" i="7"/>
  <c r="AI29" i="7"/>
  <c r="AJ29" i="7"/>
  <c r="AK29" i="7"/>
  <c r="AO29" i="7"/>
  <c r="AP29" i="7"/>
  <c r="D30" i="7"/>
  <c r="E30" i="7"/>
  <c r="G30" i="7"/>
  <c r="I30" i="7"/>
  <c r="J30" i="7"/>
  <c r="L30" i="7"/>
  <c r="N30" i="7"/>
  <c r="O30" i="7"/>
  <c r="Q30" i="7"/>
  <c r="R30" i="7"/>
  <c r="S30" i="7"/>
  <c r="T30" i="7"/>
  <c r="U30" i="7"/>
  <c r="V30" i="7"/>
  <c r="W30" i="7"/>
  <c r="X30" i="7"/>
  <c r="Y30" i="7"/>
  <c r="AC30" i="7"/>
  <c r="AD30" i="7"/>
  <c r="AE30" i="7"/>
  <c r="AF30" i="7"/>
  <c r="AG30" i="7"/>
  <c r="AH30" i="7"/>
  <c r="AI30" i="7"/>
  <c r="AJ30" i="7"/>
  <c r="AK30" i="7"/>
  <c r="AO30" i="7"/>
  <c r="AP30" i="7"/>
  <c r="D31" i="7"/>
  <c r="E31" i="7"/>
  <c r="G31" i="7"/>
  <c r="I31" i="7"/>
  <c r="J31" i="7"/>
  <c r="L31" i="7"/>
  <c r="N31" i="7"/>
  <c r="O31" i="7"/>
  <c r="Q31" i="7"/>
  <c r="R31" i="7"/>
  <c r="S31" i="7"/>
  <c r="T31" i="7"/>
  <c r="U31" i="7"/>
  <c r="V31" i="7"/>
  <c r="W31" i="7"/>
  <c r="X31" i="7"/>
  <c r="Y31" i="7"/>
  <c r="AC31" i="7"/>
  <c r="AD31" i="7"/>
  <c r="AE31" i="7"/>
  <c r="AF31" i="7"/>
  <c r="AG31" i="7"/>
  <c r="AH31" i="7"/>
  <c r="AI31" i="7"/>
  <c r="AJ31" i="7"/>
  <c r="AK31" i="7"/>
  <c r="AO31" i="7"/>
  <c r="AP31" i="7"/>
  <c r="D32" i="7"/>
  <c r="E32" i="7"/>
  <c r="G32" i="7"/>
  <c r="I32" i="7"/>
  <c r="J32" i="7"/>
  <c r="L32" i="7"/>
  <c r="N32" i="7"/>
  <c r="O32" i="7"/>
  <c r="Q32" i="7"/>
  <c r="R32" i="7"/>
  <c r="S32" i="7"/>
  <c r="T32" i="7"/>
  <c r="U32" i="7"/>
  <c r="V32" i="7"/>
  <c r="W32" i="7"/>
  <c r="X32" i="7"/>
  <c r="Y32" i="7"/>
  <c r="AC32" i="7"/>
  <c r="AD32" i="7"/>
  <c r="AE32" i="7"/>
  <c r="AF32" i="7"/>
  <c r="AG32" i="7"/>
  <c r="AH32" i="7"/>
  <c r="AI32" i="7"/>
  <c r="AJ32" i="7"/>
  <c r="AK32" i="7"/>
  <c r="AO32" i="7"/>
  <c r="AP32" i="7"/>
  <c r="D33" i="7"/>
  <c r="E33" i="7"/>
  <c r="G33" i="7"/>
  <c r="I33" i="7"/>
  <c r="J33" i="7"/>
  <c r="L33" i="7"/>
  <c r="N33" i="7"/>
  <c r="O33" i="7"/>
  <c r="Q33" i="7"/>
  <c r="R33" i="7"/>
  <c r="S33" i="7"/>
  <c r="T33" i="7"/>
  <c r="U33" i="7"/>
  <c r="V33" i="7"/>
  <c r="W33" i="7"/>
  <c r="X33" i="7"/>
  <c r="Y33" i="7"/>
  <c r="AC33" i="7"/>
  <c r="AD33" i="7"/>
  <c r="AE33" i="7"/>
  <c r="AF33" i="7"/>
  <c r="AG33" i="7"/>
  <c r="AH33" i="7"/>
  <c r="AI33" i="7"/>
  <c r="AJ33" i="7"/>
  <c r="AK33" i="7"/>
  <c r="AO33" i="7"/>
  <c r="AP33" i="7"/>
  <c r="D34" i="7"/>
  <c r="E34" i="7"/>
  <c r="G34" i="7"/>
  <c r="I34" i="7"/>
  <c r="J34" i="7"/>
  <c r="L34" i="7"/>
  <c r="N34" i="7"/>
  <c r="O34" i="7"/>
  <c r="Q34" i="7"/>
  <c r="R34" i="7"/>
  <c r="S34" i="7"/>
  <c r="T34" i="7"/>
  <c r="U34" i="7"/>
  <c r="V34" i="7"/>
  <c r="W34" i="7"/>
  <c r="X34" i="7"/>
  <c r="Y34" i="7"/>
  <c r="AC34" i="7"/>
  <c r="AD34" i="7"/>
  <c r="AE34" i="7"/>
  <c r="AF34" i="7"/>
  <c r="AG34" i="7"/>
  <c r="AH34" i="7"/>
  <c r="AI34" i="7"/>
  <c r="AJ34" i="7"/>
  <c r="AK34" i="7"/>
  <c r="AO34" i="7"/>
  <c r="AP34" i="7"/>
  <c r="D35" i="7"/>
  <c r="E35" i="7"/>
  <c r="G35" i="7"/>
  <c r="I35" i="7"/>
  <c r="J35" i="7"/>
  <c r="L35" i="7"/>
  <c r="N35" i="7"/>
  <c r="O35" i="7"/>
  <c r="Q35" i="7"/>
  <c r="R35" i="7"/>
  <c r="S35" i="7"/>
  <c r="T35" i="7"/>
  <c r="U35" i="7"/>
  <c r="V35" i="7"/>
  <c r="W35" i="7"/>
  <c r="X35" i="7"/>
  <c r="Y35" i="7"/>
  <c r="AC35" i="7"/>
  <c r="AD35" i="7"/>
  <c r="AE35" i="7"/>
  <c r="AF35" i="7"/>
  <c r="AG35" i="7"/>
  <c r="AH35" i="7"/>
  <c r="AI35" i="7"/>
  <c r="AJ35" i="7"/>
  <c r="AK35" i="7"/>
  <c r="AO35" i="7"/>
  <c r="AP35" i="7"/>
  <c r="D36" i="7"/>
  <c r="E36" i="7"/>
  <c r="G36" i="7"/>
  <c r="I36" i="7"/>
  <c r="J36" i="7"/>
  <c r="L36" i="7"/>
  <c r="N36" i="7"/>
  <c r="O36" i="7"/>
  <c r="Q36" i="7"/>
  <c r="R36" i="7"/>
  <c r="S36" i="7"/>
  <c r="T36" i="7"/>
  <c r="U36" i="7"/>
  <c r="V36" i="7"/>
  <c r="W36" i="7"/>
  <c r="X36" i="7"/>
  <c r="Y36" i="7"/>
  <c r="AC36" i="7"/>
  <c r="AD36" i="7"/>
  <c r="AE36" i="7"/>
  <c r="AF36" i="7"/>
  <c r="AG36" i="7"/>
  <c r="AH36" i="7"/>
  <c r="AI36" i="7"/>
  <c r="AJ36" i="7"/>
  <c r="AK36" i="7"/>
  <c r="AO36" i="7"/>
  <c r="AP36" i="7"/>
  <c r="D37" i="7"/>
  <c r="E37" i="7"/>
  <c r="G37" i="7"/>
  <c r="I37" i="7"/>
  <c r="J37" i="7"/>
  <c r="L37" i="7"/>
  <c r="N37" i="7"/>
  <c r="O37" i="7"/>
  <c r="Q37" i="7"/>
  <c r="R37" i="7"/>
  <c r="S37" i="7"/>
  <c r="T37" i="7"/>
  <c r="U37" i="7"/>
  <c r="V37" i="7"/>
  <c r="W37" i="7"/>
  <c r="X37" i="7"/>
  <c r="Y37" i="7"/>
  <c r="AC37" i="7"/>
  <c r="AD37" i="7"/>
  <c r="AE37" i="7"/>
  <c r="AF37" i="7"/>
  <c r="AG37" i="7"/>
  <c r="AH37" i="7"/>
  <c r="AI37" i="7"/>
  <c r="AJ37" i="7"/>
  <c r="AK37" i="7"/>
  <c r="AO37" i="7"/>
  <c r="AP37" i="7"/>
  <c r="D38" i="7"/>
  <c r="E38" i="7"/>
  <c r="G38" i="7"/>
  <c r="I38" i="7"/>
  <c r="J38" i="7"/>
  <c r="L38" i="7"/>
  <c r="N38" i="7"/>
  <c r="O38" i="7"/>
  <c r="Q38" i="7"/>
  <c r="R38" i="7"/>
  <c r="S38" i="7"/>
  <c r="T38" i="7"/>
  <c r="U38" i="7"/>
  <c r="V38" i="7"/>
  <c r="W38" i="7"/>
  <c r="X38" i="7"/>
  <c r="Y38" i="7"/>
  <c r="AC38" i="7"/>
  <c r="AD38" i="7"/>
  <c r="AE38" i="7"/>
  <c r="AF38" i="7"/>
  <c r="AG38" i="7"/>
  <c r="AH38" i="7"/>
  <c r="AI38" i="7"/>
  <c r="AJ38" i="7"/>
  <c r="AK38" i="7"/>
  <c r="AO38" i="7"/>
  <c r="AP38" i="7"/>
  <c r="D39" i="7"/>
  <c r="E39" i="7"/>
  <c r="G39" i="7"/>
  <c r="I39" i="7"/>
  <c r="J39" i="7"/>
  <c r="L39" i="7"/>
  <c r="N39" i="7"/>
  <c r="O39" i="7"/>
  <c r="Q39" i="7"/>
  <c r="R39" i="7"/>
  <c r="S39" i="7"/>
  <c r="T39" i="7"/>
  <c r="U39" i="7"/>
  <c r="V39" i="7"/>
  <c r="W39" i="7"/>
  <c r="X39" i="7"/>
  <c r="Y39" i="7"/>
  <c r="AC39" i="7"/>
  <c r="AD39" i="7"/>
  <c r="AE39" i="7"/>
  <c r="AF39" i="7"/>
  <c r="AG39" i="7"/>
  <c r="AH39" i="7"/>
  <c r="AI39" i="7"/>
  <c r="AJ39" i="7"/>
  <c r="AK39" i="7"/>
  <c r="AO39" i="7"/>
  <c r="AP39" i="7"/>
  <c r="D40" i="7"/>
  <c r="E40" i="7"/>
  <c r="G40" i="7"/>
  <c r="I40" i="7"/>
  <c r="J40" i="7"/>
  <c r="L40" i="7"/>
  <c r="N40" i="7"/>
  <c r="O40" i="7"/>
  <c r="Q40" i="7"/>
  <c r="R40" i="7"/>
  <c r="S40" i="7"/>
  <c r="T40" i="7"/>
  <c r="U40" i="7"/>
  <c r="V40" i="7"/>
  <c r="W40" i="7"/>
  <c r="X40" i="7"/>
  <c r="Y40" i="7"/>
  <c r="AC40" i="7"/>
  <c r="AD40" i="7"/>
  <c r="AE40" i="7"/>
  <c r="AF40" i="7"/>
  <c r="AG40" i="7"/>
  <c r="AH40" i="7"/>
  <c r="AI40" i="7"/>
  <c r="AJ40" i="7"/>
  <c r="AK40" i="7"/>
  <c r="AO40" i="7"/>
  <c r="AP40" i="7"/>
  <c r="D41" i="7"/>
  <c r="E41" i="7"/>
  <c r="G41" i="7"/>
  <c r="I41" i="7"/>
  <c r="J41" i="7"/>
  <c r="L41" i="7"/>
  <c r="N41" i="7"/>
  <c r="O41" i="7"/>
  <c r="Q41" i="7"/>
  <c r="R41" i="7"/>
  <c r="S41" i="7"/>
  <c r="T41" i="7"/>
  <c r="U41" i="7"/>
  <c r="V41" i="7"/>
  <c r="W41" i="7"/>
  <c r="X41" i="7"/>
  <c r="Y41" i="7"/>
  <c r="AC41" i="7"/>
  <c r="AD41" i="7"/>
  <c r="AE41" i="7"/>
  <c r="AF41" i="7"/>
  <c r="AG41" i="7"/>
  <c r="AH41" i="7"/>
  <c r="AI41" i="7"/>
  <c r="AJ41" i="7"/>
  <c r="AK41" i="7"/>
  <c r="AO41" i="7"/>
  <c r="AP41" i="7"/>
  <c r="E42" i="7"/>
  <c r="G42" i="7"/>
  <c r="I42" i="7"/>
  <c r="J42" i="7"/>
  <c r="L42" i="7"/>
  <c r="N42" i="7"/>
  <c r="O42" i="7"/>
  <c r="Q42" i="7"/>
  <c r="R42" i="7"/>
  <c r="S42" i="7"/>
  <c r="T42" i="7"/>
  <c r="U42" i="7"/>
  <c r="V42" i="7"/>
  <c r="W42" i="7"/>
  <c r="X42" i="7"/>
  <c r="Y42" i="7"/>
  <c r="AC42" i="7"/>
  <c r="AD42" i="7"/>
  <c r="AE42" i="7"/>
  <c r="AF42" i="7"/>
  <c r="AG42" i="7"/>
  <c r="AH42" i="7"/>
  <c r="AI42" i="7"/>
  <c r="AJ42" i="7"/>
  <c r="AK42" i="7"/>
  <c r="AO42" i="7"/>
  <c r="AP42" i="7"/>
  <c r="D43" i="7"/>
  <c r="E43" i="7"/>
  <c r="G43" i="7"/>
  <c r="I43" i="7"/>
  <c r="J43" i="7"/>
  <c r="L43" i="7"/>
  <c r="N43" i="7"/>
  <c r="O43" i="7"/>
  <c r="Q43" i="7"/>
  <c r="R43" i="7"/>
  <c r="S43" i="7"/>
  <c r="T43" i="7"/>
  <c r="U43" i="7"/>
  <c r="V43" i="7"/>
  <c r="W43" i="7"/>
  <c r="X43" i="7"/>
  <c r="Y43" i="7"/>
  <c r="AC43" i="7"/>
  <c r="AD43" i="7"/>
  <c r="AE43" i="7"/>
  <c r="AF43" i="7"/>
  <c r="AG43" i="7"/>
  <c r="AH43" i="7"/>
  <c r="AI43" i="7"/>
  <c r="AJ43" i="7"/>
  <c r="AK43" i="7"/>
  <c r="AO43" i="7"/>
  <c r="AP43" i="7"/>
  <c r="D44" i="7"/>
  <c r="E44" i="7"/>
  <c r="G44" i="7"/>
  <c r="I44" i="7"/>
  <c r="J44" i="7"/>
  <c r="L44" i="7"/>
  <c r="N44" i="7"/>
  <c r="O44" i="7"/>
  <c r="Q44" i="7"/>
  <c r="R44" i="7"/>
  <c r="S44" i="7"/>
  <c r="T44" i="7"/>
  <c r="U44" i="7"/>
  <c r="V44" i="7"/>
  <c r="W44" i="7"/>
  <c r="X44" i="7"/>
  <c r="Y44" i="7"/>
  <c r="AC44" i="7"/>
  <c r="AD44" i="7"/>
  <c r="AE44" i="7"/>
  <c r="AF44" i="7"/>
  <c r="AG44" i="7"/>
  <c r="AH44" i="7"/>
  <c r="AI44" i="7"/>
  <c r="AJ44" i="7"/>
  <c r="AK44" i="7"/>
  <c r="AO44" i="7"/>
  <c r="AP44" i="7"/>
  <c r="D45" i="7"/>
  <c r="E45" i="7"/>
  <c r="G45" i="7"/>
  <c r="I45" i="7"/>
  <c r="J45" i="7"/>
  <c r="L45" i="7"/>
  <c r="N45" i="7"/>
  <c r="O45" i="7"/>
  <c r="Q45" i="7"/>
  <c r="R45" i="7"/>
  <c r="S45" i="7"/>
  <c r="T45" i="7"/>
  <c r="U45" i="7"/>
  <c r="V45" i="7"/>
  <c r="W45" i="7"/>
  <c r="X45" i="7"/>
  <c r="Y45" i="7"/>
  <c r="AC45" i="7"/>
  <c r="AD45" i="7"/>
  <c r="AE45" i="7"/>
  <c r="AF45" i="7"/>
  <c r="AG45" i="7"/>
  <c r="AH45" i="7"/>
  <c r="AI45" i="7"/>
  <c r="AJ45" i="7"/>
  <c r="AK45" i="7"/>
  <c r="AO45" i="7"/>
  <c r="AP45" i="7"/>
  <c r="D46" i="7"/>
  <c r="E46" i="7"/>
  <c r="G46" i="7"/>
  <c r="I46" i="7"/>
  <c r="J46" i="7"/>
  <c r="L46" i="7"/>
  <c r="N46" i="7"/>
  <c r="O46" i="7"/>
  <c r="Q46" i="7"/>
  <c r="R46" i="7"/>
  <c r="S46" i="7"/>
  <c r="T46" i="7"/>
  <c r="U46" i="7"/>
  <c r="V46" i="7"/>
  <c r="W46" i="7"/>
  <c r="X46" i="7"/>
  <c r="Y46" i="7"/>
  <c r="AC46" i="7"/>
  <c r="AD46" i="7"/>
  <c r="AE46" i="7"/>
  <c r="AF46" i="7"/>
  <c r="AG46" i="7"/>
  <c r="AH46" i="7"/>
  <c r="AI46" i="7"/>
  <c r="AJ46" i="7"/>
  <c r="AK46" i="7"/>
  <c r="AO46" i="7"/>
  <c r="AP46" i="7"/>
  <c r="D47" i="7"/>
  <c r="E47" i="7"/>
  <c r="G47" i="7"/>
  <c r="I47" i="7"/>
  <c r="J47" i="7"/>
  <c r="L47" i="7"/>
  <c r="N47" i="7"/>
  <c r="O47" i="7"/>
  <c r="Q47" i="7"/>
  <c r="R47" i="7"/>
  <c r="S47" i="7"/>
  <c r="T47" i="7"/>
  <c r="U47" i="7"/>
  <c r="V47" i="7"/>
  <c r="W47" i="7"/>
  <c r="X47" i="7"/>
  <c r="Y47" i="7"/>
  <c r="AC47" i="7"/>
  <c r="AD47" i="7"/>
  <c r="AE47" i="7"/>
  <c r="AF47" i="7"/>
  <c r="AG47" i="7"/>
  <c r="AH47" i="7"/>
  <c r="AI47" i="7"/>
  <c r="AJ47" i="7"/>
  <c r="AK47" i="7"/>
  <c r="AO47" i="7"/>
  <c r="AP47" i="7"/>
  <c r="D48" i="7"/>
  <c r="E48" i="7"/>
  <c r="G48" i="7"/>
  <c r="I48" i="7"/>
  <c r="J48" i="7"/>
  <c r="L48" i="7"/>
  <c r="N48" i="7"/>
  <c r="O48" i="7"/>
  <c r="Q48" i="7"/>
  <c r="R48" i="7"/>
  <c r="S48" i="7"/>
  <c r="T48" i="7"/>
  <c r="U48" i="7"/>
  <c r="V48" i="7"/>
  <c r="W48" i="7"/>
  <c r="X48" i="7"/>
  <c r="Y48" i="7"/>
  <c r="AC48" i="7"/>
  <c r="AD48" i="7"/>
  <c r="AE48" i="7"/>
  <c r="AF48" i="7"/>
  <c r="AG48" i="7"/>
  <c r="AH48" i="7"/>
  <c r="AI48" i="7"/>
  <c r="AJ48" i="7"/>
  <c r="AK48" i="7"/>
  <c r="AO48" i="7"/>
  <c r="AP48" i="7"/>
  <c r="D49" i="7"/>
  <c r="E49" i="7"/>
  <c r="G49" i="7"/>
  <c r="I49" i="7"/>
  <c r="J49" i="7"/>
  <c r="L49" i="7"/>
  <c r="N49" i="7"/>
  <c r="O49" i="7"/>
  <c r="Q49" i="7"/>
  <c r="R49" i="7"/>
  <c r="S49" i="7"/>
  <c r="T49" i="7"/>
  <c r="U49" i="7"/>
  <c r="V49" i="7"/>
  <c r="W49" i="7"/>
  <c r="X49" i="7"/>
  <c r="Y49" i="7"/>
  <c r="AC49" i="7"/>
  <c r="AD49" i="7"/>
  <c r="AE49" i="7"/>
  <c r="AF49" i="7"/>
  <c r="AG49" i="7"/>
  <c r="AH49" i="7"/>
  <c r="AI49" i="7"/>
  <c r="AJ49" i="7"/>
  <c r="AK49" i="7"/>
  <c r="AO49" i="7"/>
  <c r="AP49" i="7"/>
  <c r="D50" i="7"/>
  <c r="E50" i="7"/>
  <c r="G50" i="7"/>
  <c r="I50" i="7"/>
  <c r="J50" i="7"/>
  <c r="L50" i="7"/>
  <c r="N50" i="7"/>
  <c r="O50" i="7"/>
  <c r="Q50" i="7"/>
  <c r="R50" i="7"/>
  <c r="S50" i="7"/>
  <c r="T50" i="7"/>
  <c r="U50" i="7"/>
  <c r="V50" i="7"/>
  <c r="W50" i="7"/>
  <c r="X50" i="7"/>
  <c r="Y50" i="7"/>
  <c r="AC50" i="7"/>
  <c r="AD50" i="7"/>
  <c r="AE50" i="7"/>
  <c r="AF50" i="7"/>
  <c r="AG50" i="7"/>
  <c r="AH50" i="7"/>
  <c r="AI50" i="7"/>
  <c r="AJ50" i="7"/>
  <c r="AK50" i="7"/>
  <c r="AO50" i="7"/>
  <c r="AP50" i="7"/>
  <c r="D51" i="7"/>
  <c r="E51" i="7"/>
  <c r="G51" i="7"/>
  <c r="I51" i="7"/>
  <c r="J51" i="7"/>
  <c r="L51" i="7"/>
  <c r="N51" i="7"/>
  <c r="O51" i="7"/>
  <c r="Q51" i="7"/>
  <c r="R51" i="7"/>
  <c r="S51" i="7"/>
  <c r="T51" i="7"/>
  <c r="U51" i="7"/>
  <c r="V51" i="7"/>
  <c r="W51" i="7"/>
  <c r="X51" i="7"/>
  <c r="Y51" i="7"/>
  <c r="AC51" i="7"/>
  <c r="AD51" i="7"/>
  <c r="AE51" i="7"/>
  <c r="AF51" i="7"/>
  <c r="AG51" i="7"/>
  <c r="AH51" i="7"/>
  <c r="AI51" i="7"/>
  <c r="AJ51" i="7"/>
  <c r="AK51" i="7"/>
  <c r="AO51" i="7"/>
  <c r="AP51" i="7"/>
  <c r="D52" i="7"/>
  <c r="E52" i="7"/>
  <c r="G52" i="7"/>
  <c r="I52" i="7"/>
  <c r="J52" i="7"/>
  <c r="L52" i="7"/>
  <c r="N52" i="7"/>
  <c r="O52" i="7"/>
  <c r="Q52" i="7"/>
  <c r="R52" i="7"/>
  <c r="S52" i="7"/>
  <c r="T52" i="7"/>
  <c r="U52" i="7"/>
  <c r="V52" i="7"/>
  <c r="W52" i="7"/>
  <c r="X52" i="7"/>
  <c r="Y52" i="7"/>
  <c r="AC52" i="7"/>
  <c r="AD52" i="7"/>
  <c r="AE52" i="7"/>
  <c r="AF52" i="7"/>
  <c r="AG52" i="7"/>
  <c r="AH52" i="7"/>
  <c r="AI52" i="7"/>
  <c r="AJ52" i="7"/>
  <c r="AK52" i="7"/>
  <c r="AO52" i="7"/>
  <c r="AP52" i="7"/>
  <c r="D53" i="7"/>
  <c r="E53" i="7"/>
  <c r="G53" i="7"/>
  <c r="I53" i="7"/>
  <c r="J53" i="7"/>
  <c r="L53" i="7"/>
  <c r="N53" i="7"/>
  <c r="O53" i="7"/>
  <c r="Q53" i="7"/>
  <c r="R53" i="7"/>
  <c r="S53" i="7"/>
  <c r="T53" i="7"/>
  <c r="U53" i="7"/>
  <c r="V53" i="7"/>
  <c r="W53" i="7"/>
  <c r="X53" i="7"/>
  <c r="Y53" i="7"/>
  <c r="AC53" i="7"/>
  <c r="AD53" i="7"/>
  <c r="AE53" i="7"/>
  <c r="AF53" i="7"/>
  <c r="AG53" i="7"/>
  <c r="AH53" i="7"/>
  <c r="AI53" i="7"/>
  <c r="AJ53" i="7"/>
  <c r="AK53" i="7"/>
  <c r="AO53" i="7"/>
  <c r="AP53" i="7"/>
  <c r="D54" i="7"/>
  <c r="E54" i="7"/>
  <c r="G54" i="7"/>
  <c r="I54" i="7"/>
  <c r="J54" i="7"/>
  <c r="L54" i="7"/>
  <c r="N54" i="7"/>
  <c r="O54" i="7"/>
  <c r="Q54" i="7"/>
  <c r="R54" i="7"/>
  <c r="S54" i="7"/>
  <c r="T54" i="7"/>
  <c r="U54" i="7"/>
  <c r="V54" i="7"/>
  <c r="W54" i="7"/>
  <c r="X54" i="7"/>
  <c r="Y54" i="7"/>
  <c r="AC54" i="7"/>
  <c r="AD54" i="7"/>
  <c r="AE54" i="7"/>
  <c r="AF54" i="7"/>
  <c r="AG54" i="7"/>
  <c r="AH54" i="7"/>
  <c r="AI54" i="7"/>
  <c r="AJ54" i="7"/>
  <c r="AK54" i="7"/>
  <c r="AO54" i="7"/>
  <c r="AP54" i="7"/>
  <c r="D55" i="7"/>
  <c r="E55" i="7"/>
  <c r="G55" i="7"/>
  <c r="I55" i="7"/>
  <c r="J55" i="7"/>
  <c r="L55" i="7"/>
  <c r="N55" i="7"/>
  <c r="O55" i="7"/>
  <c r="Q55" i="7"/>
  <c r="R55" i="7"/>
  <c r="S55" i="7"/>
  <c r="T55" i="7"/>
  <c r="U55" i="7"/>
  <c r="V55" i="7"/>
  <c r="W55" i="7"/>
  <c r="X55" i="7"/>
  <c r="Y55" i="7"/>
  <c r="AC55" i="7"/>
  <c r="AD55" i="7"/>
  <c r="AE55" i="7"/>
  <c r="AF55" i="7"/>
  <c r="AG55" i="7"/>
  <c r="AH55" i="7"/>
  <c r="AI55" i="7"/>
  <c r="AJ55" i="7"/>
  <c r="AK55" i="7"/>
  <c r="AO55" i="7"/>
  <c r="AP55" i="7"/>
  <c r="D56" i="7"/>
  <c r="E56" i="7"/>
  <c r="G56" i="7"/>
  <c r="I56" i="7"/>
  <c r="J56" i="7"/>
  <c r="L56" i="7"/>
  <c r="N56" i="7"/>
  <c r="O56" i="7"/>
  <c r="Q56" i="7"/>
  <c r="R56" i="7"/>
  <c r="S56" i="7"/>
  <c r="T56" i="7"/>
  <c r="U56" i="7"/>
  <c r="V56" i="7"/>
  <c r="W56" i="7"/>
  <c r="X56" i="7"/>
  <c r="Y56" i="7"/>
  <c r="AC56" i="7"/>
  <c r="AD56" i="7"/>
  <c r="AE56" i="7"/>
  <c r="AF56" i="7"/>
  <c r="AG56" i="7"/>
  <c r="AH56" i="7"/>
  <c r="AI56" i="7"/>
  <c r="AJ56" i="7"/>
  <c r="AK56" i="7"/>
  <c r="AO56" i="7"/>
  <c r="AP56" i="7"/>
  <c r="D57" i="7"/>
  <c r="E57" i="7"/>
  <c r="G57" i="7"/>
  <c r="I57" i="7"/>
  <c r="J57" i="7"/>
  <c r="L57" i="7"/>
  <c r="N57" i="7"/>
  <c r="O57" i="7"/>
  <c r="Q57" i="7"/>
  <c r="R57" i="7"/>
  <c r="S57" i="7"/>
  <c r="T57" i="7"/>
  <c r="U57" i="7"/>
  <c r="V57" i="7"/>
  <c r="W57" i="7"/>
  <c r="X57" i="7"/>
  <c r="Y57" i="7"/>
  <c r="AC57" i="7"/>
  <c r="AD57" i="7"/>
  <c r="AE57" i="7"/>
  <c r="AF57" i="7"/>
  <c r="AG57" i="7"/>
  <c r="AH57" i="7"/>
  <c r="AI57" i="7"/>
  <c r="AJ57" i="7"/>
  <c r="AK57" i="7"/>
  <c r="AO57" i="7"/>
  <c r="AP57" i="7"/>
  <c r="D58" i="7"/>
  <c r="E58" i="7"/>
  <c r="G58" i="7"/>
  <c r="I58" i="7"/>
  <c r="J58" i="7"/>
  <c r="L58" i="7"/>
  <c r="N58" i="7"/>
  <c r="O58" i="7"/>
  <c r="Q58" i="7"/>
  <c r="R58" i="7"/>
  <c r="S58" i="7"/>
  <c r="T58" i="7"/>
  <c r="U58" i="7"/>
  <c r="V58" i="7"/>
  <c r="W58" i="7"/>
  <c r="X58" i="7"/>
  <c r="Y58" i="7"/>
  <c r="AC58" i="7"/>
  <c r="AD58" i="7"/>
  <c r="AE58" i="7"/>
  <c r="AF58" i="7"/>
  <c r="AG58" i="7"/>
  <c r="AH58" i="7"/>
  <c r="AI58" i="7"/>
  <c r="AJ58" i="7"/>
  <c r="AK58" i="7"/>
  <c r="AO58" i="7"/>
  <c r="AP58" i="7"/>
  <c r="D59" i="7"/>
  <c r="E59" i="7"/>
  <c r="G59" i="7"/>
  <c r="I59" i="7"/>
  <c r="J59" i="7"/>
  <c r="L59" i="7"/>
  <c r="N59" i="7"/>
  <c r="O59" i="7"/>
  <c r="Q59" i="7"/>
  <c r="R59" i="7"/>
  <c r="S59" i="7"/>
  <c r="T59" i="7"/>
  <c r="U59" i="7"/>
  <c r="V59" i="7"/>
  <c r="W59" i="7"/>
  <c r="X59" i="7"/>
  <c r="Y59" i="7"/>
  <c r="AC59" i="7"/>
  <c r="AD59" i="7"/>
  <c r="AE59" i="7"/>
  <c r="AF59" i="7"/>
  <c r="AG59" i="7"/>
  <c r="AH59" i="7"/>
  <c r="AI59" i="7"/>
  <c r="AJ59" i="7"/>
  <c r="AK59" i="7"/>
  <c r="AO59" i="7"/>
  <c r="AP59" i="7"/>
  <c r="D60" i="7"/>
  <c r="E60" i="7"/>
  <c r="G60" i="7"/>
  <c r="I60" i="7"/>
  <c r="J60" i="7"/>
  <c r="L60" i="7"/>
  <c r="N60" i="7"/>
  <c r="O60" i="7"/>
  <c r="Q60" i="7"/>
  <c r="R60" i="7"/>
  <c r="S60" i="7"/>
  <c r="T60" i="7"/>
  <c r="U60" i="7"/>
  <c r="V60" i="7"/>
  <c r="W60" i="7"/>
  <c r="X60" i="7"/>
  <c r="Y60" i="7"/>
  <c r="AC60" i="7"/>
  <c r="AD60" i="7"/>
  <c r="AE60" i="7"/>
  <c r="AF60" i="7"/>
  <c r="AG60" i="7"/>
  <c r="AH60" i="7"/>
  <c r="AI60" i="7"/>
  <c r="AJ60" i="7"/>
  <c r="AK60" i="7"/>
  <c r="AO60" i="7"/>
  <c r="AP60" i="7"/>
  <c r="D61" i="7"/>
  <c r="E61" i="7"/>
  <c r="G61" i="7"/>
  <c r="I61" i="7"/>
  <c r="J61" i="7"/>
  <c r="L61" i="7"/>
  <c r="N61" i="7"/>
  <c r="O61" i="7"/>
  <c r="Q61" i="7"/>
  <c r="R61" i="7"/>
  <c r="S61" i="7"/>
  <c r="T61" i="7"/>
  <c r="U61" i="7"/>
  <c r="V61" i="7"/>
  <c r="W61" i="7"/>
  <c r="X61" i="7"/>
  <c r="Y61" i="7"/>
  <c r="AC61" i="7"/>
  <c r="AD61" i="7"/>
  <c r="AE61" i="7"/>
  <c r="AF61" i="7"/>
  <c r="AG61" i="7"/>
  <c r="AH61" i="7"/>
  <c r="AI61" i="7"/>
  <c r="AJ61" i="7"/>
  <c r="AK61" i="7"/>
  <c r="AO61" i="7"/>
  <c r="AP61" i="7"/>
  <c r="D62" i="7"/>
  <c r="E62" i="7"/>
  <c r="G62" i="7"/>
  <c r="I62" i="7"/>
  <c r="J62" i="7"/>
  <c r="L62" i="7"/>
  <c r="N62" i="7"/>
  <c r="O62" i="7"/>
  <c r="Q62" i="7"/>
  <c r="R62" i="7"/>
  <c r="S62" i="7"/>
  <c r="T62" i="7"/>
  <c r="U62" i="7"/>
  <c r="V62" i="7"/>
  <c r="W62" i="7"/>
  <c r="X62" i="7"/>
  <c r="Y62" i="7"/>
  <c r="AC62" i="7"/>
  <c r="AD62" i="7"/>
  <c r="AE62" i="7"/>
  <c r="AF62" i="7"/>
  <c r="AG62" i="7"/>
  <c r="AH62" i="7"/>
  <c r="AI62" i="7"/>
  <c r="AJ62" i="7"/>
  <c r="AK62" i="7"/>
  <c r="AO62" i="7"/>
  <c r="AP62" i="7"/>
  <c r="D63" i="7"/>
  <c r="E63" i="7"/>
  <c r="G63" i="7"/>
  <c r="I63" i="7"/>
  <c r="J63" i="7"/>
  <c r="L63" i="7"/>
  <c r="N63" i="7"/>
  <c r="O63" i="7"/>
  <c r="Q63" i="7"/>
  <c r="R63" i="7"/>
  <c r="S63" i="7"/>
  <c r="T63" i="7"/>
  <c r="U63" i="7"/>
  <c r="V63" i="7"/>
  <c r="W63" i="7"/>
  <c r="X63" i="7"/>
  <c r="Y63" i="7"/>
  <c r="AC63" i="7"/>
  <c r="AD63" i="7"/>
  <c r="AE63" i="7"/>
  <c r="AF63" i="7"/>
  <c r="AG63" i="7"/>
  <c r="AH63" i="7"/>
  <c r="AI63" i="7"/>
  <c r="AJ63" i="7"/>
  <c r="AK63" i="7"/>
  <c r="AO63" i="7"/>
  <c r="AP63" i="7"/>
  <c r="D64" i="7"/>
  <c r="E64" i="7"/>
  <c r="G64" i="7"/>
  <c r="I64" i="7"/>
  <c r="J64" i="7"/>
  <c r="L64" i="7"/>
  <c r="N64" i="7"/>
  <c r="O64" i="7"/>
  <c r="Q64" i="7"/>
  <c r="R64" i="7"/>
  <c r="S64" i="7"/>
  <c r="T64" i="7"/>
  <c r="U64" i="7"/>
  <c r="V64" i="7"/>
  <c r="W64" i="7"/>
  <c r="X64" i="7"/>
  <c r="Y64" i="7"/>
  <c r="AC64" i="7"/>
  <c r="AD64" i="7"/>
  <c r="AE64" i="7"/>
  <c r="AF64" i="7"/>
  <c r="AG64" i="7"/>
  <c r="AH64" i="7"/>
  <c r="AI64" i="7"/>
  <c r="AJ64" i="7"/>
  <c r="AK64" i="7"/>
  <c r="AO64" i="7"/>
  <c r="AP64" i="7"/>
  <c r="D65" i="7"/>
  <c r="E65" i="7"/>
  <c r="G65" i="7"/>
  <c r="I65" i="7"/>
  <c r="J65" i="7"/>
  <c r="L65" i="7"/>
  <c r="N65" i="7"/>
  <c r="O65" i="7"/>
  <c r="Q65" i="7"/>
  <c r="R65" i="7"/>
  <c r="S65" i="7"/>
  <c r="T65" i="7"/>
  <c r="U65" i="7"/>
  <c r="V65" i="7"/>
  <c r="W65" i="7"/>
  <c r="X65" i="7"/>
  <c r="Y65" i="7"/>
  <c r="AC65" i="7"/>
  <c r="AD65" i="7"/>
  <c r="AE65" i="7"/>
  <c r="AF65" i="7"/>
  <c r="AG65" i="7"/>
  <c r="AH65" i="7"/>
  <c r="AI65" i="7"/>
  <c r="AJ65" i="7"/>
  <c r="AK65" i="7"/>
  <c r="AO65" i="7"/>
  <c r="AP65" i="7"/>
  <c r="D66" i="7"/>
  <c r="E66" i="7"/>
  <c r="G66" i="7"/>
  <c r="I66" i="7"/>
  <c r="J66" i="7"/>
  <c r="L66" i="7"/>
  <c r="N66" i="7"/>
  <c r="O66" i="7"/>
  <c r="Q66" i="7"/>
  <c r="R66" i="7"/>
  <c r="S66" i="7"/>
  <c r="T66" i="7"/>
  <c r="U66" i="7"/>
  <c r="V66" i="7"/>
  <c r="W66" i="7"/>
  <c r="X66" i="7"/>
  <c r="Y66" i="7"/>
  <c r="AC66" i="7"/>
  <c r="AD66" i="7"/>
  <c r="AE66" i="7"/>
  <c r="AF66" i="7"/>
  <c r="AG66" i="7"/>
  <c r="AH66" i="7"/>
  <c r="AI66" i="7"/>
  <c r="AJ66" i="7"/>
  <c r="AK66" i="7"/>
  <c r="AO66" i="7"/>
  <c r="AP66" i="7"/>
  <c r="D67" i="7"/>
  <c r="E67" i="7"/>
  <c r="G67" i="7"/>
  <c r="I67" i="7"/>
  <c r="J67" i="7"/>
  <c r="L67" i="7"/>
  <c r="N67" i="7"/>
  <c r="O67" i="7"/>
  <c r="Q67" i="7"/>
  <c r="R67" i="7"/>
  <c r="S67" i="7"/>
  <c r="T67" i="7"/>
  <c r="U67" i="7"/>
  <c r="V67" i="7"/>
  <c r="W67" i="7"/>
  <c r="X67" i="7"/>
  <c r="Y67" i="7"/>
  <c r="AC67" i="7"/>
  <c r="AD67" i="7"/>
  <c r="AE67" i="7"/>
  <c r="AF67" i="7"/>
  <c r="AG67" i="7"/>
  <c r="AH67" i="7"/>
  <c r="AI67" i="7"/>
  <c r="AJ67" i="7"/>
  <c r="AK67" i="7"/>
  <c r="AO67" i="7"/>
  <c r="AP67" i="7"/>
  <c r="D68" i="7"/>
  <c r="E68" i="7"/>
  <c r="G68" i="7"/>
  <c r="I68" i="7"/>
  <c r="J68" i="7"/>
  <c r="L68" i="7"/>
  <c r="N68" i="7"/>
  <c r="O68" i="7"/>
  <c r="Q68" i="7"/>
  <c r="R68" i="7"/>
  <c r="S68" i="7"/>
  <c r="T68" i="7"/>
  <c r="U68" i="7"/>
  <c r="V68" i="7"/>
  <c r="W68" i="7"/>
  <c r="X68" i="7"/>
  <c r="Y68" i="7"/>
  <c r="AC68" i="7"/>
  <c r="AD68" i="7"/>
  <c r="AE68" i="7"/>
  <c r="AF68" i="7"/>
  <c r="AG68" i="7"/>
  <c r="AH68" i="7"/>
  <c r="AI68" i="7"/>
  <c r="AJ68" i="7"/>
  <c r="AK68" i="7"/>
  <c r="AO68" i="7"/>
  <c r="AP68" i="7"/>
  <c r="D69" i="7"/>
  <c r="E69" i="7"/>
  <c r="G69" i="7"/>
  <c r="I69" i="7"/>
  <c r="J69" i="7"/>
  <c r="L69" i="7"/>
  <c r="N69" i="7"/>
  <c r="O69" i="7"/>
  <c r="Q69" i="7"/>
  <c r="R69" i="7"/>
  <c r="S69" i="7"/>
  <c r="T69" i="7"/>
  <c r="U69" i="7"/>
  <c r="V69" i="7"/>
  <c r="W69" i="7"/>
  <c r="X69" i="7"/>
  <c r="Y69" i="7"/>
  <c r="AC69" i="7"/>
  <c r="AD69" i="7"/>
  <c r="AE69" i="7"/>
  <c r="AF69" i="7"/>
  <c r="AG69" i="7"/>
  <c r="AH69" i="7"/>
  <c r="AI69" i="7"/>
  <c r="AJ69" i="7"/>
  <c r="AK69" i="7"/>
  <c r="AO69" i="7"/>
  <c r="AP69" i="7"/>
  <c r="D70" i="7"/>
  <c r="E70" i="7"/>
  <c r="G70" i="7"/>
  <c r="I70" i="7"/>
  <c r="J70" i="7"/>
  <c r="L70" i="7"/>
  <c r="N70" i="7"/>
  <c r="O70" i="7"/>
  <c r="Q70" i="7"/>
  <c r="R70" i="7"/>
  <c r="S70" i="7"/>
  <c r="T70" i="7"/>
  <c r="U70" i="7"/>
  <c r="V70" i="7"/>
  <c r="W70" i="7"/>
  <c r="X70" i="7"/>
  <c r="Y70" i="7"/>
  <c r="AC70" i="7"/>
  <c r="AD70" i="7"/>
  <c r="AE70" i="7"/>
  <c r="AF70" i="7"/>
  <c r="AG70" i="7"/>
  <c r="AH70" i="7"/>
  <c r="AI70" i="7"/>
  <c r="AJ70" i="7"/>
  <c r="AK70" i="7"/>
  <c r="AO70" i="7"/>
  <c r="AP70" i="7"/>
  <c r="D71" i="7"/>
  <c r="E71" i="7"/>
  <c r="G71" i="7"/>
  <c r="I71" i="7"/>
  <c r="J71" i="7"/>
  <c r="L71" i="7"/>
  <c r="N71" i="7"/>
  <c r="O71" i="7"/>
  <c r="Q71" i="7"/>
  <c r="R71" i="7"/>
  <c r="S71" i="7"/>
  <c r="T71" i="7"/>
  <c r="U71" i="7"/>
  <c r="V71" i="7"/>
  <c r="W71" i="7"/>
  <c r="X71" i="7"/>
  <c r="Y71" i="7"/>
  <c r="AC71" i="7"/>
  <c r="AD71" i="7"/>
  <c r="AE71" i="7"/>
  <c r="AF71" i="7"/>
  <c r="AG71" i="7"/>
  <c r="AH71" i="7"/>
  <c r="AI71" i="7"/>
  <c r="AJ71" i="7"/>
  <c r="AK71" i="7"/>
  <c r="AO71" i="7"/>
  <c r="AP71" i="7"/>
  <c r="D72" i="7"/>
  <c r="E72" i="7"/>
  <c r="G72" i="7"/>
  <c r="I72" i="7"/>
  <c r="J72" i="7"/>
  <c r="L72" i="7"/>
  <c r="N72" i="7"/>
  <c r="O72" i="7"/>
  <c r="Q72" i="7"/>
  <c r="R72" i="7"/>
  <c r="S72" i="7"/>
  <c r="T72" i="7"/>
  <c r="U72" i="7"/>
  <c r="V72" i="7"/>
  <c r="W72" i="7"/>
  <c r="X72" i="7"/>
  <c r="Y72" i="7"/>
  <c r="AC72" i="7"/>
  <c r="AD72" i="7"/>
  <c r="AE72" i="7"/>
  <c r="AF72" i="7"/>
  <c r="AG72" i="7"/>
  <c r="AH72" i="7"/>
  <c r="AI72" i="7"/>
  <c r="AJ72" i="7"/>
  <c r="AK72" i="7"/>
  <c r="AO72" i="7"/>
  <c r="AP72" i="7"/>
  <c r="D73" i="7"/>
  <c r="E73" i="7"/>
  <c r="G73" i="7"/>
  <c r="I73" i="7"/>
  <c r="J73" i="7"/>
  <c r="L73" i="7"/>
  <c r="N73" i="7"/>
  <c r="O73" i="7"/>
  <c r="Q73" i="7"/>
  <c r="R73" i="7"/>
  <c r="S73" i="7"/>
  <c r="T73" i="7"/>
  <c r="U73" i="7"/>
  <c r="V73" i="7"/>
  <c r="W73" i="7"/>
  <c r="X73" i="7"/>
  <c r="Y73" i="7"/>
  <c r="AC73" i="7"/>
  <c r="AD73" i="7"/>
  <c r="AE73" i="7"/>
  <c r="AF73" i="7"/>
  <c r="AG73" i="7"/>
  <c r="AH73" i="7"/>
  <c r="AI73" i="7"/>
  <c r="AJ73" i="7"/>
  <c r="AK73" i="7"/>
  <c r="AO73" i="7"/>
  <c r="AP73" i="7"/>
  <c r="D74" i="7"/>
  <c r="E74" i="7"/>
  <c r="G74" i="7"/>
  <c r="I74" i="7"/>
  <c r="J74" i="7"/>
  <c r="L74" i="7"/>
  <c r="N74" i="7"/>
  <c r="O74" i="7"/>
  <c r="Q74" i="7"/>
  <c r="R74" i="7"/>
  <c r="S74" i="7"/>
  <c r="T74" i="7"/>
  <c r="U74" i="7"/>
  <c r="V74" i="7"/>
  <c r="W74" i="7"/>
  <c r="X74" i="7"/>
  <c r="Y74" i="7"/>
  <c r="AC74" i="7"/>
  <c r="AD74" i="7"/>
  <c r="AE74" i="7"/>
  <c r="AF74" i="7"/>
  <c r="AG74" i="7"/>
  <c r="AH74" i="7"/>
  <c r="AI74" i="7"/>
  <c r="AJ74" i="7"/>
  <c r="AK74" i="7"/>
  <c r="AO74" i="7"/>
  <c r="AP74" i="7"/>
  <c r="D75" i="7"/>
  <c r="E75" i="7"/>
  <c r="G75" i="7"/>
  <c r="I75" i="7"/>
  <c r="J75" i="7"/>
  <c r="L75" i="7"/>
  <c r="N75" i="7"/>
  <c r="O75" i="7"/>
  <c r="Q75" i="7"/>
  <c r="R75" i="7"/>
  <c r="S75" i="7"/>
  <c r="T75" i="7"/>
  <c r="U75" i="7"/>
  <c r="V75" i="7"/>
  <c r="W75" i="7"/>
  <c r="X75" i="7"/>
  <c r="Y75" i="7"/>
  <c r="AC75" i="7"/>
  <c r="AD75" i="7"/>
  <c r="AE75" i="7"/>
  <c r="AF75" i="7"/>
  <c r="AG75" i="7"/>
  <c r="AH75" i="7"/>
  <c r="AI75" i="7"/>
  <c r="AJ75" i="7"/>
  <c r="AK75" i="7"/>
  <c r="AO75" i="7"/>
  <c r="AP75" i="7"/>
  <c r="AP76" i="7"/>
  <c r="D78" i="7"/>
  <c r="E78" i="7"/>
  <c r="G78" i="7"/>
  <c r="I78" i="7"/>
  <c r="J78" i="7"/>
  <c r="L78" i="7"/>
  <c r="N78" i="7"/>
  <c r="O78" i="7"/>
  <c r="Q78" i="7"/>
  <c r="R78" i="7"/>
  <c r="S78" i="7"/>
  <c r="T78" i="7"/>
  <c r="U78" i="7"/>
  <c r="V78" i="7"/>
  <c r="W78" i="7"/>
  <c r="X78" i="7"/>
  <c r="Y78" i="7"/>
  <c r="AC78" i="7"/>
  <c r="AD78" i="7"/>
  <c r="AE78" i="7"/>
  <c r="AF78" i="7"/>
  <c r="AG78" i="7"/>
  <c r="AH78" i="7"/>
  <c r="AI78" i="7"/>
  <c r="AJ78" i="7"/>
  <c r="AK78" i="7"/>
  <c r="AO78" i="7"/>
  <c r="AP78" i="7"/>
  <c r="D79" i="7"/>
  <c r="E79" i="7"/>
  <c r="G79" i="7"/>
  <c r="I79" i="7"/>
  <c r="J79" i="7"/>
  <c r="L79" i="7"/>
  <c r="N79" i="7"/>
  <c r="O79" i="7"/>
  <c r="Q79" i="7"/>
  <c r="R79" i="7"/>
  <c r="S79" i="7"/>
  <c r="T79" i="7"/>
  <c r="U79" i="7"/>
  <c r="V79" i="7"/>
  <c r="W79" i="7"/>
  <c r="X79" i="7"/>
  <c r="Y79" i="7"/>
  <c r="AC79" i="7"/>
  <c r="AD79" i="7"/>
  <c r="AE79" i="7"/>
  <c r="AF79" i="7"/>
  <c r="AG79" i="7"/>
  <c r="AH79" i="7"/>
  <c r="AI79" i="7"/>
  <c r="AJ79" i="7"/>
  <c r="AK79" i="7"/>
  <c r="AO79" i="7"/>
  <c r="AP79" i="7"/>
  <c r="D80" i="7"/>
  <c r="E80" i="7"/>
  <c r="G80" i="7"/>
  <c r="I80" i="7"/>
  <c r="J80" i="7"/>
  <c r="L80" i="7"/>
  <c r="N80" i="7"/>
  <c r="O80" i="7"/>
  <c r="Q80" i="7"/>
  <c r="R80" i="7"/>
  <c r="S80" i="7"/>
  <c r="T80" i="7"/>
  <c r="U80" i="7"/>
  <c r="V80" i="7"/>
  <c r="W80" i="7"/>
  <c r="X80" i="7"/>
  <c r="Y80" i="7"/>
  <c r="AC80" i="7"/>
  <c r="AD80" i="7"/>
  <c r="AE80" i="7"/>
  <c r="AF80" i="7"/>
  <c r="AG80" i="7"/>
  <c r="AH80" i="7"/>
  <c r="AI80" i="7"/>
  <c r="AJ80" i="7"/>
  <c r="AK80" i="7"/>
  <c r="AO80" i="7"/>
  <c r="AP80" i="7"/>
  <c r="D81" i="7"/>
  <c r="E81" i="7"/>
  <c r="G81" i="7"/>
  <c r="I81" i="7"/>
  <c r="J81" i="7"/>
  <c r="L81" i="7"/>
  <c r="N81" i="7"/>
  <c r="O81" i="7"/>
  <c r="Q81" i="7"/>
  <c r="R81" i="7"/>
  <c r="S81" i="7"/>
  <c r="T81" i="7"/>
  <c r="U81" i="7"/>
  <c r="V81" i="7"/>
  <c r="W81" i="7"/>
  <c r="X81" i="7"/>
  <c r="Y81" i="7"/>
  <c r="AC81" i="7"/>
  <c r="AD81" i="7"/>
  <c r="AE81" i="7"/>
  <c r="AF81" i="7"/>
  <c r="AG81" i="7"/>
  <c r="AH81" i="7"/>
  <c r="AI81" i="7"/>
  <c r="AJ81" i="7"/>
  <c r="AK81" i="7"/>
  <c r="AO81" i="7"/>
  <c r="AP81" i="7"/>
  <c r="D82" i="7"/>
  <c r="E82" i="7"/>
  <c r="G82" i="7"/>
  <c r="I82" i="7"/>
  <c r="J82" i="7"/>
  <c r="L82" i="7"/>
  <c r="N82" i="7"/>
  <c r="O82" i="7"/>
  <c r="Q82" i="7"/>
  <c r="R82" i="7"/>
  <c r="S82" i="7"/>
  <c r="T82" i="7"/>
  <c r="U82" i="7"/>
  <c r="V82" i="7"/>
  <c r="W82" i="7"/>
  <c r="X82" i="7"/>
  <c r="Y82" i="7"/>
  <c r="AC82" i="7"/>
  <c r="AD82" i="7"/>
  <c r="AE82" i="7"/>
  <c r="AF82" i="7"/>
  <c r="AG82" i="7"/>
  <c r="AH82" i="7"/>
  <c r="AI82" i="7"/>
  <c r="AJ82" i="7"/>
  <c r="AK82" i="7"/>
  <c r="AO82" i="7"/>
  <c r="AP82" i="7"/>
  <c r="E83" i="7"/>
  <c r="G83" i="7"/>
  <c r="I83" i="7"/>
  <c r="J83" i="7"/>
  <c r="L83" i="7"/>
  <c r="N83" i="7"/>
  <c r="O83" i="7"/>
  <c r="Q83" i="7"/>
  <c r="R83" i="7"/>
  <c r="S83" i="7"/>
  <c r="T83" i="7"/>
  <c r="U83" i="7"/>
  <c r="V83" i="7"/>
  <c r="W83" i="7"/>
  <c r="X83" i="7"/>
  <c r="Y83" i="7"/>
  <c r="AC83" i="7"/>
  <c r="AD83" i="7"/>
  <c r="AE83" i="7"/>
  <c r="AF83" i="7"/>
  <c r="AG83" i="7"/>
  <c r="AH83" i="7"/>
  <c r="AI83" i="7"/>
  <c r="AJ83" i="7"/>
  <c r="AK83" i="7"/>
  <c r="AO83" i="7"/>
  <c r="AP83" i="7"/>
  <c r="AP84" i="7"/>
  <c r="D86" i="7"/>
  <c r="E86" i="7"/>
  <c r="G86" i="7"/>
  <c r="I86" i="7"/>
  <c r="J86" i="7"/>
  <c r="L86" i="7"/>
  <c r="N86" i="7"/>
  <c r="O86" i="7"/>
  <c r="Q86" i="7"/>
  <c r="R86" i="7"/>
  <c r="S86" i="7"/>
  <c r="T86" i="7"/>
  <c r="U86" i="7"/>
  <c r="V86" i="7"/>
  <c r="W86" i="7"/>
  <c r="X86" i="7"/>
  <c r="Y86" i="7"/>
  <c r="AC86" i="7"/>
  <c r="AD86" i="7"/>
  <c r="AE86" i="7"/>
  <c r="AF86" i="7"/>
  <c r="AG86" i="7"/>
  <c r="AH86" i="7"/>
  <c r="AI86" i="7"/>
  <c r="AJ86" i="7"/>
  <c r="AK86" i="7"/>
  <c r="AO86" i="7"/>
  <c r="AP86" i="7"/>
  <c r="D87" i="7"/>
  <c r="E87" i="7"/>
  <c r="G87" i="7"/>
  <c r="I87" i="7"/>
  <c r="J87" i="7"/>
  <c r="L87" i="7"/>
  <c r="N87" i="7"/>
  <c r="O87" i="7"/>
  <c r="Q87" i="7"/>
  <c r="R87" i="7"/>
  <c r="S87" i="7"/>
  <c r="T87" i="7"/>
  <c r="U87" i="7"/>
  <c r="V87" i="7"/>
  <c r="W87" i="7"/>
  <c r="X87" i="7"/>
  <c r="Y87" i="7"/>
  <c r="AC87" i="7"/>
  <c r="AD87" i="7"/>
  <c r="AE87" i="7"/>
  <c r="AF87" i="7"/>
  <c r="AG87" i="7"/>
  <c r="AH87" i="7"/>
  <c r="AI87" i="7"/>
  <c r="AJ87" i="7"/>
  <c r="AK87" i="7"/>
  <c r="AO87" i="7"/>
  <c r="AP87" i="7"/>
  <c r="D88" i="7"/>
  <c r="E88" i="7"/>
  <c r="G88" i="7"/>
  <c r="I88" i="7"/>
  <c r="J88" i="7"/>
  <c r="L88" i="7"/>
  <c r="N88" i="7"/>
  <c r="O88" i="7"/>
  <c r="Q88" i="7"/>
  <c r="R88" i="7"/>
  <c r="S88" i="7"/>
  <c r="T88" i="7"/>
  <c r="U88" i="7"/>
  <c r="V88" i="7"/>
  <c r="W88" i="7"/>
  <c r="X88" i="7"/>
  <c r="Y88" i="7"/>
  <c r="AC88" i="7"/>
  <c r="AD88" i="7"/>
  <c r="AE88" i="7"/>
  <c r="AF88" i="7"/>
  <c r="AG88" i="7"/>
  <c r="AH88" i="7"/>
  <c r="AI88" i="7"/>
  <c r="AJ88" i="7"/>
  <c r="AK88" i="7"/>
  <c r="AO88" i="7"/>
  <c r="AP88" i="7"/>
  <c r="D89" i="7"/>
  <c r="E89" i="7"/>
  <c r="G89" i="7"/>
  <c r="I89" i="7"/>
  <c r="J89" i="7"/>
  <c r="L89" i="7"/>
  <c r="N89" i="7"/>
  <c r="O89" i="7"/>
  <c r="Q89" i="7"/>
  <c r="R89" i="7"/>
  <c r="S89" i="7"/>
  <c r="T89" i="7"/>
  <c r="U89" i="7"/>
  <c r="V89" i="7"/>
  <c r="W89" i="7"/>
  <c r="X89" i="7"/>
  <c r="Y89" i="7"/>
  <c r="AC89" i="7"/>
  <c r="AD89" i="7"/>
  <c r="AE89" i="7"/>
  <c r="AF89" i="7"/>
  <c r="AG89" i="7"/>
  <c r="AH89" i="7"/>
  <c r="AI89" i="7"/>
  <c r="AJ89" i="7"/>
  <c r="AK89" i="7"/>
  <c r="AO89" i="7"/>
  <c r="AP89" i="7"/>
  <c r="D90" i="7"/>
  <c r="E90" i="7"/>
  <c r="G90" i="7"/>
  <c r="I90" i="7"/>
  <c r="J90" i="7"/>
  <c r="L90" i="7"/>
  <c r="N90" i="7"/>
  <c r="O90" i="7"/>
  <c r="Q90" i="7"/>
  <c r="R90" i="7"/>
  <c r="S90" i="7"/>
  <c r="T90" i="7"/>
  <c r="U90" i="7"/>
  <c r="V90" i="7"/>
  <c r="W90" i="7"/>
  <c r="X90" i="7"/>
  <c r="Y90" i="7"/>
  <c r="AC90" i="7"/>
  <c r="AD90" i="7"/>
  <c r="AE90" i="7"/>
  <c r="AF90" i="7"/>
  <c r="AG90" i="7"/>
  <c r="AH90" i="7"/>
  <c r="AI90" i="7"/>
  <c r="AJ90" i="7"/>
  <c r="AK90" i="7"/>
  <c r="AO90" i="7"/>
  <c r="AP90" i="7"/>
  <c r="D91" i="7"/>
  <c r="E91" i="7"/>
  <c r="G91" i="7"/>
  <c r="I91" i="7"/>
  <c r="J91" i="7"/>
  <c r="L91" i="7"/>
  <c r="N91" i="7"/>
  <c r="O91" i="7"/>
  <c r="Q91" i="7"/>
  <c r="R91" i="7"/>
  <c r="S91" i="7"/>
  <c r="T91" i="7"/>
  <c r="U91" i="7"/>
  <c r="V91" i="7"/>
  <c r="W91" i="7"/>
  <c r="X91" i="7"/>
  <c r="Y91" i="7"/>
  <c r="AC91" i="7"/>
  <c r="AD91" i="7"/>
  <c r="AE91" i="7"/>
  <c r="AF91" i="7"/>
  <c r="AG91" i="7"/>
  <c r="AH91" i="7"/>
  <c r="AI91" i="7"/>
  <c r="AJ91" i="7"/>
  <c r="AK91" i="7"/>
  <c r="AO91" i="7"/>
  <c r="AP91" i="7"/>
  <c r="D92" i="7"/>
  <c r="E92" i="7"/>
  <c r="G92" i="7"/>
  <c r="I92" i="7"/>
  <c r="J92" i="7"/>
  <c r="L92" i="7"/>
  <c r="N92" i="7"/>
  <c r="O92" i="7"/>
  <c r="Q92" i="7"/>
  <c r="R92" i="7"/>
  <c r="S92" i="7"/>
  <c r="T92" i="7"/>
  <c r="U92" i="7"/>
  <c r="V92" i="7"/>
  <c r="W92" i="7"/>
  <c r="X92" i="7"/>
  <c r="Y92" i="7"/>
  <c r="AC92" i="7"/>
  <c r="AD92" i="7"/>
  <c r="AE92" i="7"/>
  <c r="AF92" i="7"/>
  <c r="AG92" i="7"/>
  <c r="AH92" i="7"/>
  <c r="AI92" i="7"/>
  <c r="AJ92" i="7"/>
  <c r="AK92" i="7"/>
  <c r="AO92" i="7"/>
  <c r="AP92" i="7"/>
  <c r="AP93" i="7"/>
  <c r="D95" i="7"/>
  <c r="E95" i="7"/>
  <c r="G95" i="7"/>
  <c r="I95" i="7"/>
  <c r="J95" i="7"/>
  <c r="L95" i="7"/>
  <c r="N95" i="7"/>
  <c r="O95" i="7"/>
  <c r="Q95" i="7"/>
  <c r="R95" i="7"/>
  <c r="S95" i="7"/>
  <c r="T95" i="7"/>
  <c r="U95" i="7"/>
  <c r="V95" i="7"/>
  <c r="W95" i="7"/>
  <c r="X95" i="7"/>
  <c r="Y95" i="7"/>
  <c r="AC95" i="7"/>
  <c r="AD95" i="7"/>
  <c r="AE95" i="7"/>
  <c r="AF95" i="7"/>
  <c r="AG95" i="7"/>
  <c r="AH95" i="7"/>
  <c r="AI95" i="7"/>
  <c r="AJ95" i="7"/>
  <c r="AK95" i="7"/>
  <c r="AO95" i="7"/>
  <c r="AP95" i="7"/>
  <c r="D96" i="7"/>
  <c r="E96" i="7"/>
  <c r="G96" i="7"/>
  <c r="I96" i="7"/>
  <c r="J96" i="7"/>
  <c r="L96" i="7"/>
  <c r="N96" i="7"/>
  <c r="O96" i="7"/>
  <c r="Q96" i="7"/>
  <c r="R96" i="7"/>
  <c r="S96" i="7"/>
  <c r="T96" i="7"/>
  <c r="U96" i="7"/>
  <c r="V96" i="7"/>
  <c r="W96" i="7"/>
  <c r="X96" i="7"/>
  <c r="Y96" i="7"/>
  <c r="AC96" i="7"/>
  <c r="AD96" i="7"/>
  <c r="AE96" i="7"/>
  <c r="AF96" i="7"/>
  <c r="AG96" i="7"/>
  <c r="AH96" i="7"/>
  <c r="AI96" i="7"/>
  <c r="AJ96" i="7"/>
  <c r="AK96" i="7"/>
  <c r="AO96" i="7"/>
  <c r="AP96" i="7"/>
  <c r="D97" i="7"/>
  <c r="E97" i="7"/>
  <c r="G97" i="7"/>
  <c r="I97" i="7"/>
  <c r="J97" i="7"/>
  <c r="L97" i="7"/>
  <c r="N97" i="7"/>
  <c r="O97" i="7"/>
  <c r="Q97" i="7"/>
  <c r="R97" i="7"/>
  <c r="S97" i="7"/>
  <c r="T97" i="7"/>
  <c r="U97" i="7"/>
  <c r="V97" i="7"/>
  <c r="W97" i="7"/>
  <c r="X97" i="7"/>
  <c r="Y97" i="7"/>
  <c r="AC97" i="7"/>
  <c r="AD97" i="7"/>
  <c r="AE97" i="7"/>
  <c r="AF97" i="7"/>
  <c r="AG97" i="7"/>
  <c r="AH97" i="7"/>
  <c r="AI97" i="7"/>
  <c r="AJ97" i="7"/>
  <c r="AK97" i="7"/>
  <c r="AO97" i="7"/>
  <c r="AP97" i="7"/>
  <c r="D98" i="7"/>
  <c r="E98" i="7"/>
  <c r="G98" i="7"/>
  <c r="I98" i="7"/>
  <c r="J98" i="7"/>
  <c r="L98" i="7"/>
  <c r="N98" i="7"/>
  <c r="O98" i="7"/>
  <c r="Q98" i="7"/>
  <c r="R98" i="7"/>
  <c r="S98" i="7"/>
  <c r="T98" i="7"/>
  <c r="U98" i="7"/>
  <c r="V98" i="7"/>
  <c r="W98" i="7"/>
  <c r="X98" i="7"/>
  <c r="Y98" i="7"/>
  <c r="AC98" i="7"/>
  <c r="AD98" i="7"/>
  <c r="AE98" i="7"/>
  <c r="AF98" i="7"/>
  <c r="AG98" i="7"/>
  <c r="AH98" i="7"/>
  <c r="AI98" i="7"/>
  <c r="AJ98" i="7"/>
  <c r="AK98" i="7"/>
  <c r="AO98" i="7"/>
  <c r="AP98" i="7"/>
  <c r="D99" i="7"/>
  <c r="E99" i="7"/>
  <c r="G99" i="7"/>
  <c r="I99" i="7"/>
  <c r="J99" i="7"/>
  <c r="L99" i="7"/>
  <c r="N99" i="7"/>
  <c r="O99" i="7"/>
  <c r="Q99" i="7"/>
  <c r="R99" i="7"/>
  <c r="S99" i="7"/>
  <c r="T99" i="7"/>
  <c r="U99" i="7"/>
  <c r="V99" i="7"/>
  <c r="W99" i="7"/>
  <c r="X99" i="7"/>
  <c r="Y99" i="7"/>
  <c r="AC99" i="7"/>
  <c r="AD99" i="7"/>
  <c r="AE99" i="7"/>
  <c r="AF99" i="7"/>
  <c r="AG99" i="7"/>
  <c r="AH99" i="7"/>
  <c r="AI99" i="7"/>
  <c r="AJ99" i="7"/>
  <c r="AK99" i="7"/>
  <c r="AO99" i="7"/>
  <c r="AP99" i="7"/>
  <c r="D100" i="7"/>
  <c r="E100" i="7"/>
  <c r="G100" i="7"/>
  <c r="I100" i="7"/>
  <c r="J100" i="7"/>
  <c r="L100" i="7"/>
  <c r="N100" i="7"/>
  <c r="O100" i="7"/>
  <c r="Q100" i="7"/>
  <c r="R100" i="7"/>
  <c r="S100" i="7"/>
  <c r="T100" i="7"/>
  <c r="U100" i="7"/>
  <c r="V100" i="7"/>
  <c r="W100" i="7"/>
  <c r="X100" i="7"/>
  <c r="Y100" i="7"/>
  <c r="AC100" i="7"/>
  <c r="AD100" i="7"/>
  <c r="AE100" i="7"/>
  <c r="AF100" i="7"/>
  <c r="AG100" i="7"/>
  <c r="AH100" i="7"/>
  <c r="AI100" i="7"/>
  <c r="AJ100" i="7"/>
  <c r="AK100" i="7"/>
  <c r="AO100" i="7"/>
  <c r="AP100" i="7"/>
  <c r="D101" i="7"/>
  <c r="E101" i="7"/>
  <c r="G101" i="7"/>
  <c r="I101" i="7"/>
  <c r="J101" i="7"/>
  <c r="L101" i="7"/>
  <c r="N101" i="7"/>
  <c r="O101" i="7"/>
  <c r="Q101" i="7"/>
  <c r="R101" i="7"/>
  <c r="S101" i="7"/>
  <c r="T101" i="7"/>
  <c r="U101" i="7"/>
  <c r="V101" i="7"/>
  <c r="W101" i="7"/>
  <c r="X101" i="7"/>
  <c r="Y101" i="7"/>
  <c r="AC101" i="7"/>
  <c r="AD101" i="7"/>
  <c r="AE101" i="7"/>
  <c r="AF101" i="7"/>
  <c r="AG101" i="7"/>
  <c r="AH101" i="7"/>
  <c r="AI101" i="7"/>
  <c r="AJ101" i="7"/>
  <c r="AK101" i="7"/>
  <c r="AO101" i="7"/>
  <c r="AP101" i="7"/>
  <c r="E102" i="7"/>
  <c r="G102" i="7"/>
  <c r="I102" i="7"/>
  <c r="J102" i="7"/>
  <c r="L102" i="7"/>
  <c r="O102" i="7"/>
  <c r="Q102" i="7"/>
  <c r="S102" i="7"/>
  <c r="T102" i="7"/>
  <c r="U102" i="7"/>
  <c r="W102" i="7"/>
  <c r="X102" i="7"/>
  <c r="Y102" i="7"/>
  <c r="AC102" i="7"/>
  <c r="AE102" i="7"/>
  <c r="AF102" i="7"/>
  <c r="AG102" i="7"/>
  <c r="AI102" i="7"/>
  <c r="AJ102" i="7"/>
  <c r="AK102" i="7"/>
  <c r="AO102" i="7"/>
  <c r="AP102" i="7"/>
  <c r="E103" i="7"/>
  <c r="G103" i="7"/>
  <c r="I103" i="7"/>
  <c r="J103" i="7"/>
  <c r="L103" i="7"/>
  <c r="O103" i="7"/>
  <c r="Q103" i="7"/>
  <c r="S103" i="7"/>
  <c r="T103" i="7"/>
  <c r="U103" i="7"/>
  <c r="W103" i="7"/>
  <c r="X103" i="7"/>
  <c r="Y103" i="7"/>
  <c r="AC103" i="7"/>
  <c r="AE103" i="7"/>
  <c r="AF103" i="7"/>
  <c r="AG103" i="7"/>
  <c r="AI103" i="7"/>
  <c r="AJ103" i="7"/>
  <c r="AK103" i="7"/>
  <c r="AO103" i="7"/>
  <c r="AP103" i="7"/>
  <c r="D104" i="7"/>
  <c r="E104" i="7"/>
  <c r="G104" i="7"/>
  <c r="I104" i="7"/>
  <c r="J104" i="7"/>
  <c r="L104" i="7"/>
  <c r="N104" i="7"/>
  <c r="O104" i="7"/>
  <c r="Q104" i="7"/>
  <c r="R104" i="7"/>
  <c r="S104" i="7"/>
  <c r="T104" i="7"/>
  <c r="U104" i="7"/>
  <c r="V104" i="7"/>
  <c r="W104" i="7"/>
  <c r="X104" i="7"/>
  <c r="Y104" i="7"/>
  <c r="AC104" i="7"/>
  <c r="AD104" i="7"/>
  <c r="AE104" i="7"/>
  <c r="AF104" i="7"/>
  <c r="AG104" i="7"/>
  <c r="AH104" i="7"/>
  <c r="AI104" i="7"/>
  <c r="AJ104" i="7"/>
  <c r="AK104" i="7"/>
  <c r="AO104" i="7"/>
  <c r="AP104" i="7"/>
  <c r="D105" i="7"/>
  <c r="E105" i="7"/>
  <c r="G105" i="7"/>
  <c r="I105" i="7"/>
  <c r="J105" i="7"/>
  <c r="L105" i="7"/>
  <c r="N105" i="7"/>
  <c r="O105" i="7"/>
  <c r="Q105" i="7"/>
  <c r="R105" i="7"/>
  <c r="S105" i="7"/>
  <c r="T105" i="7"/>
  <c r="U105" i="7"/>
  <c r="V105" i="7"/>
  <c r="W105" i="7"/>
  <c r="X105" i="7"/>
  <c r="Y105" i="7"/>
  <c r="AC105" i="7"/>
  <c r="AD105" i="7"/>
  <c r="AE105" i="7"/>
  <c r="AF105" i="7"/>
  <c r="AG105" i="7"/>
  <c r="AH105" i="7"/>
  <c r="AI105" i="7"/>
  <c r="AJ105" i="7"/>
  <c r="AK105" i="7"/>
  <c r="AO105" i="7"/>
  <c r="AP105" i="7"/>
  <c r="D106" i="7"/>
  <c r="E106" i="7"/>
  <c r="G106" i="7"/>
  <c r="I106" i="7"/>
  <c r="J106" i="7"/>
  <c r="L106" i="7"/>
  <c r="N106" i="7"/>
  <c r="O106" i="7"/>
  <c r="Q106" i="7"/>
  <c r="R106" i="7"/>
  <c r="S106" i="7"/>
  <c r="T106" i="7"/>
  <c r="U106" i="7"/>
  <c r="V106" i="7"/>
  <c r="W106" i="7"/>
  <c r="X106" i="7"/>
  <c r="Y106" i="7"/>
  <c r="AC106" i="7"/>
  <c r="AD106" i="7"/>
  <c r="AE106" i="7"/>
  <c r="AF106" i="7"/>
  <c r="AG106" i="7"/>
  <c r="AH106" i="7"/>
  <c r="AI106" i="7"/>
  <c r="AJ106" i="7"/>
  <c r="AK106" i="7"/>
  <c r="AO106" i="7"/>
  <c r="AP106" i="7"/>
  <c r="D107" i="7"/>
  <c r="E107" i="7"/>
  <c r="G107" i="7"/>
  <c r="I107" i="7"/>
  <c r="J107" i="7"/>
  <c r="L107" i="7"/>
  <c r="N107" i="7"/>
  <c r="O107" i="7"/>
  <c r="Q107" i="7"/>
  <c r="R107" i="7"/>
  <c r="S107" i="7"/>
  <c r="T107" i="7"/>
  <c r="U107" i="7"/>
  <c r="V107" i="7"/>
  <c r="W107" i="7"/>
  <c r="X107" i="7"/>
  <c r="Y107" i="7"/>
  <c r="AC107" i="7"/>
  <c r="AD107" i="7"/>
  <c r="AE107" i="7"/>
  <c r="AF107" i="7"/>
  <c r="AG107" i="7"/>
  <c r="AH107" i="7"/>
  <c r="AI107" i="7"/>
  <c r="AJ107" i="7"/>
  <c r="AK107" i="7"/>
  <c r="AO107" i="7"/>
  <c r="AP107" i="7"/>
  <c r="D108" i="7"/>
  <c r="E108" i="7"/>
  <c r="G108" i="7"/>
  <c r="I108" i="7"/>
  <c r="J108" i="7"/>
  <c r="L108" i="7"/>
  <c r="N108" i="7"/>
  <c r="O108" i="7"/>
  <c r="Q108" i="7"/>
  <c r="R108" i="7"/>
  <c r="S108" i="7"/>
  <c r="T108" i="7"/>
  <c r="U108" i="7"/>
  <c r="V108" i="7"/>
  <c r="W108" i="7"/>
  <c r="X108" i="7"/>
  <c r="Y108" i="7"/>
  <c r="AC108" i="7"/>
  <c r="AD108" i="7"/>
  <c r="AE108" i="7"/>
  <c r="AF108" i="7"/>
  <c r="AG108" i="7"/>
  <c r="AH108" i="7"/>
  <c r="AI108" i="7"/>
  <c r="AJ108" i="7"/>
  <c r="AK108" i="7"/>
  <c r="AO108" i="7"/>
  <c r="AP108" i="7"/>
  <c r="D109" i="7"/>
  <c r="E109" i="7"/>
  <c r="G109" i="7"/>
  <c r="I109" i="7"/>
  <c r="J109" i="7"/>
  <c r="L109" i="7"/>
  <c r="N109" i="7"/>
  <c r="O109" i="7"/>
  <c r="Q109" i="7"/>
  <c r="R109" i="7"/>
  <c r="S109" i="7"/>
  <c r="T109" i="7"/>
  <c r="U109" i="7"/>
  <c r="V109" i="7"/>
  <c r="W109" i="7"/>
  <c r="X109" i="7"/>
  <c r="Y109" i="7"/>
  <c r="AC109" i="7"/>
  <c r="AD109" i="7"/>
  <c r="AE109" i="7"/>
  <c r="AF109" i="7"/>
  <c r="AG109" i="7"/>
  <c r="AH109" i="7"/>
  <c r="AI109" i="7"/>
  <c r="AJ109" i="7"/>
  <c r="AK109" i="7"/>
  <c r="AO109" i="7"/>
  <c r="AP109" i="7"/>
  <c r="D110" i="7"/>
  <c r="E110" i="7"/>
  <c r="G110" i="7"/>
  <c r="I110" i="7"/>
  <c r="J110" i="7"/>
  <c r="L110" i="7"/>
  <c r="N110" i="7"/>
  <c r="O110" i="7"/>
  <c r="Q110" i="7"/>
  <c r="R110" i="7"/>
  <c r="S110" i="7"/>
  <c r="T110" i="7"/>
  <c r="U110" i="7"/>
  <c r="V110" i="7"/>
  <c r="W110" i="7"/>
  <c r="X110" i="7"/>
  <c r="Y110" i="7"/>
  <c r="AC110" i="7"/>
  <c r="AD110" i="7"/>
  <c r="AE110" i="7"/>
  <c r="AF110" i="7"/>
  <c r="AG110" i="7"/>
  <c r="AH110" i="7"/>
  <c r="AI110" i="7"/>
  <c r="AJ110" i="7"/>
  <c r="AK110" i="7"/>
  <c r="AO110" i="7"/>
  <c r="AP110" i="7"/>
  <c r="D111" i="7"/>
  <c r="E111" i="7"/>
  <c r="G111" i="7"/>
  <c r="I111" i="7"/>
  <c r="J111" i="7"/>
  <c r="L111" i="7"/>
  <c r="N111" i="7"/>
  <c r="O111" i="7"/>
  <c r="Q111" i="7"/>
  <c r="R111" i="7"/>
  <c r="S111" i="7"/>
  <c r="T111" i="7"/>
  <c r="U111" i="7"/>
  <c r="V111" i="7"/>
  <c r="W111" i="7"/>
  <c r="X111" i="7"/>
  <c r="Y111" i="7"/>
  <c r="AC111" i="7"/>
  <c r="AD111" i="7"/>
  <c r="AE111" i="7"/>
  <c r="AF111" i="7"/>
  <c r="AG111" i="7"/>
  <c r="AH111" i="7"/>
  <c r="AI111" i="7"/>
  <c r="AJ111" i="7"/>
  <c r="AK111" i="7"/>
  <c r="AO111" i="7"/>
  <c r="AP111" i="7"/>
  <c r="D112" i="7"/>
  <c r="E112" i="7"/>
  <c r="G112" i="7"/>
  <c r="I112" i="7"/>
  <c r="J112" i="7"/>
  <c r="L112" i="7"/>
  <c r="N112" i="7"/>
  <c r="O112" i="7"/>
  <c r="Q112" i="7"/>
  <c r="R112" i="7"/>
  <c r="S112" i="7"/>
  <c r="T112" i="7"/>
  <c r="U112" i="7"/>
  <c r="V112" i="7"/>
  <c r="W112" i="7"/>
  <c r="X112" i="7"/>
  <c r="Y112" i="7"/>
  <c r="AC112" i="7"/>
  <c r="AD112" i="7"/>
  <c r="AE112" i="7"/>
  <c r="AF112" i="7"/>
  <c r="AG112" i="7"/>
  <c r="AH112" i="7"/>
  <c r="AI112" i="7"/>
  <c r="AJ112" i="7"/>
  <c r="AK112" i="7"/>
  <c r="AO112" i="7"/>
  <c r="AP112" i="7"/>
  <c r="D113" i="7"/>
  <c r="E113" i="7"/>
  <c r="G113" i="7"/>
  <c r="I113" i="7"/>
  <c r="J113" i="7"/>
  <c r="L113" i="7"/>
  <c r="N113" i="7"/>
  <c r="O113" i="7"/>
  <c r="Q113" i="7"/>
  <c r="R113" i="7"/>
  <c r="S113" i="7"/>
  <c r="T113" i="7"/>
  <c r="U113" i="7"/>
  <c r="V113" i="7"/>
  <c r="W113" i="7"/>
  <c r="X113" i="7"/>
  <c r="Y113" i="7"/>
  <c r="AC113" i="7"/>
  <c r="AD113" i="7"/>
  <c r="AE113" i="7"/>
  <c r="AF113" i="7"/>
  <c r="AG113" i="7"/>
  <c r="AH113" i="7"/>
  <c r="AI113" i="7"/>
  <c r="AJ113" i="7"/>
  <c r="AK113" i="7"/>
  <c r="AO113" i="7"/>
  <c r="AP113" i="7"/>
  <c r="D114" i="7"/>
  <c r="E114" i="7"/>
  <c r="G114" i="7"/>
  <c r="I114" i="7"/>
  <c r="J114" i="7"/>
  <c r="L114" i="7"/>
  <c r="N114" i="7"/>
  <c r="O114" i="7"/>
  <c r="Q114" i="7"/>
  <c r="R114" i="7"/>
  <c r="S114" i="7"/>
  <c r="T114" i="7"/>
  <c r="U114" i="7"/>
  <c r="V114" i="7"/>
  <c r="W114" i="7"/>
  <c r="X114" i="7"/>
  <c r="Y114" i="7"/>
  <c r="AC114" i="7"/>
  <c r="AD114" i="7"/>
  <c r="AE114" i="7"/>
  <c r="AF114" i="7"/>
  <c r="AG114" i="7"/>
  <c r="AH114" i="7"/>
  <c r="AI114" i="7"/>
  <c r="AJ114" i="7"/>
  <c r="AK114" i="7"/>
  <c r="AO114" i="7"/>
  <c r="AP114" i="7"/>
  <c r="D115" i="7"/>
  <c r="E115" i="7"/>
  <c r="G115" i="7"/>
  <c r="I115" i="7"/>
  <c r="J115" i="7"/>
  <c r="L115" i="7"/>
  <c r="N115" i="7"/>
  <c r="O115" i="7"/>
  <c r="Q115" i="7"/>
  <c r="R115" i="7"/>
  <c r="S115" i="7"/>
  <c r="T115" i="7"/>
  <c r="U115" i="7"/>
  <c r="V115" i="7"/>
  <c r="W115" i="7"/>
  <c r="X115" i="7"/>
  <c r="Y115" i="7"/>
  <c r="AC115" i="7"/>
  <c r="AD115" i="7"/>
  <c r="AE115" i="7"/>
  <c r="AF115" i="7"/>
  <c r="AG115" i="7"/>
  <c r="AH115" i="7"/>
  <c r="AI115" i="7"/>
  <c r="AJ115" i="7"/>
  <c r="AK115" i="7"/>
  <c r="AO115" i="7"/>
  <c r="AP115" i="7"/>
  <c r="D116" i="7"/>
  <c r="E116" i="7"/>
  <c r="G116" i="7"/>
  <c r="I116" i="7"/>
  <c r="J116" i="7"/>
  <c r="L116" i="7"/>
  <c r="N116" i="7"/>
  <c r="O116" i="7"/>
  <c r="Q116" i="7"/>
  <c r="R116" i="7"/>
  <c r="S116" i="7"/>
  <c r="T116" i="7"/>
  <c r="U116" i="7"/>
  <c r="V116" i="7"/>
  <c r="W116" i="7"/>
  <c r="X116" i="7"/>
  <c r="Y116" i="7"/>
  <c r="AC116" i="7"/>
  <c r="AD116" i="7"/>
  <c r="AE116" i="7"/>
  <c r="AF116" i="7"/>
  <c r="AG116" i="7"/>
  <c r="AH116" i="7"/>
  <c r="AI116" i="7"/>
  <c r="AJ116" i="7"/>
  <c r="AK116" i="7"/>
  <c r="AO116" i="7"/>
  <c r="AP116" i="7"/>
  <c r="D117" i="7"/>
  <c r="E117" i="7"/>
  <c r="G117" i="7"/>
  <c r="I117" i="7"/>
  <c r="J117" i="7"/>
  <c r="L117" i="7"/>
  <c r="N117" i="7"/>
  <c r="O117" i="7"/>
  <c r="Q117" i="7"/>
  <c r="R117" i="7"/>
  <c r="S117" i="7"/>
  <c r="T117" i="7"/>
  <c r="U117" i="7"/>
  <c r="V117" i="7"/>
  <c r="W117" i="7"/>
  <c r="X117" i="7"/>
  <c r="Y117" i="7"/>
  <c r="AC117" i="7"/>
  <c r="AD117" i="7"/>
  <c r="AE117" i="7"/>
  <c r="AF117" i="7"/>
  <c r="AG117" i="7"/>
  <c r="AH117" i="7"/>
  <c r="AI117" i="7"/>
  <c r="AJ117" i="7"/>
  <c r="AK117" i="7"/>
  <c r="AO117" i="7"/>
  <c r="AP117" i="7"/>
  <c r="D118" i="7"/>
  <c r="E118" i="7"/>
  <c r="G118" i="7"/>
  <c r="I118" i="7"/>
  <c r="J118" i="7"/>
  <c r="L118" i="7"/>
  <c r="N118" i="7"/>
  <c r="O118" i="7"/>
  <c r="Q118" i="7"/>
  <c r="R118" i="7"/>
  <c r="S118" i="7"/>
  <c r="T118" i="7"/>
  <c r="U118" i="7"/>
  <c r="V118" i="7"/>
  <c r="W118" i="7"/>
  <c r="X118" i="7"/>
  <c r="Y118" i="7"/>
  <c r="AC118" i="7"/>
  <c r="AD118" i="7"/>
  <c r="AE118" i="7"/>
  <c r="AF118" i="7"/>
  <c r="AG118" i="7"/>
  <c r="AH118" i="7"/>
  <c r="AI118" i="7"/>
  <c r="AJ118" i="7"/>
  <c r="AK118" i="7"/>
  <c r="AO118" i="7"/>
  <c r="AP118" i="7"/>
  <c r="D119" i="7"/>
  <c r="E119" i="7"/>
  <c r="G119" i="7"/>
  <c r="I119" i="7"/>
  <c r="J119" i="7"/>
  <c r="L119" i="7"/>
  <c r="N119" i="7"/>
  <c r="O119" i="7"/>
  <c r="Q119" i="7"/>
  <c r="R119" i="7"/>
  <c r="S119" i="7"/>
  <c r="T119" i="7"/>
  <c r="U119" i="7"/>
  <c r="V119" i="7"/>
  <c r="W119" i="7"/>
  <c r="X119" i="7"/>
  <c r="Y119" i="7"/>
  <c r="AC119" i="7"/>
  <c r="AD119" i="7"/>
  <c r="AE119" i="7"/>
  <c r="AF119" i="7"/>
  <c r="AG119" i="7"/>
  <c r="AH119" i="7"/>
  <c r="AI119" i="7"/>
  <c r="AJ119" i="7"/>
  <c r="AK119" i="7"/>
  <c r="AO119" i="7"/>
  <c r="AP119" i="7"/>
  <c r="D120" i="7"/>
  <c r="E120" i="7"/>
  <c r="G120" i="7"/>
  <c r="I120" i="7"/>
  <c r="J120" i="7"/>
  <c r="L120" i="7"/>
  <c r="N120" i="7"/>
  <c r="O120" i="7"/>
  <c r="Q120" i="7"/>
  <c r="R120" i="7"/>
  <c r="S120" i="7"/>
  <c r="T120" i="7"/>
  <c r="U120" i="7"/>
  <c r="V120" i="7"/>
  <c r="W120" i="7"/>
  <c r="X120" i="7"/>
  <c r="Y120" i="7"/>
  <c r="AC120" i="7"/>
  <c r="AD120" i="7"/>
  <c r="AE120" i="7"/>
  <c r="AF120" i="7"/>
  <c r="AG120" i="7"/>
  <c r="AH120" i="7"/>
  <c r="AI120" i="7"/>
  <c r="AJ120" i="7"/>
  <c r="AK120" i="7"/>
  <c r="AO120" i="7"/>
  <c r="AP120" i="7"/>
  <c r="D121" i="7"/>
  <c r="E121" i="7"/>
  <c r="G121" i="7"/>
  <c r="I121" i="7"/>
  <c r="J121" i="7"/>
  <c r="L121" i="7"/>
  <c r="N121" i="7"/>
  <c r="O121" i="7"/>
  <c r="Q121" i="7"/>
  <c r="R121" i="7"/>
  <c r="S121" i="7"/>
  <c r="T121" i="7"/>
  <c r="U121" i="7"/>
  <c r="V121" i="7"/>
  <c r="W121" i="7"/>
  <c r="X121" i="7"/>
  <c r="Y121" i="7"/>
  <c r="AC121" i="7"/>
  <c r="AD121" i="7"/>
  <c r="AE121" i="7"/>
  <c r="AF121" i="7"/>
  <c r="AG121" i="7"/>
  <c r="AH121" i="7"/>
  <c r="AI121" i="7"/>
  <c r="AJ121" i="7"/>
  <c r="AK121" i="7"/>
  <c r="AO121" i="7"/>
  <c r="AP121" i="7"/>
  <c r="D122" i="7"/>
  <c r="E122" i="7"/>
  <c r="G122" i="7"/>
  <c r="I122" i="7"/>
  <c r="J122" i="7"/>
  <c r="L122" i="7"/>
  <c r="N122" i="7"/>
  <c r="O122" i="7"/>
  <c r="Q122" i="7"/>
  <c r="R122" i="7"/>
  <c r="S122" i="7"/>
  <c r="T122" i="7"/>
  <c r="U122" i="7"/>
  <c r="V122" i="7"/>
  <c r="W122" i="7"/>
  <c r="X122" i="7"/>
  <c r="Y122" i="7"/>
  <c r="AC122" i="7"/>
  <c r="AD122" i="7"/>
  <c r="AE122" i="7"/>
  <c r="AF122" i="7"/>
  <c r="AG122" i="7"/>
  <c r="AH122" i="7"/>
  <c r="AI122" i="7"/>
  <c r="AJ122" i="7"/>
  <c r="AK122" i="7"/>
  <c r="AO122" i="7"/>
  <c r="AP122" i="7"/>
  <c r="D123" i="7"/>
  <c r="E123" i="7"/>
  <c r="G123" i="7"/>
  <c r="I123" i="7"/>
  <c r="J123" i="7"/>
  <c r="L123" i="7"/>
  <c r="N123" i="7"/>
  <c r="O123" i="7"/>
  <c r="Q123" i="7"/>
  <c r="R123" i="7"/>
  <c r="S123" i="7"/>
  <c r="T123" i="7"/>
  <c r="U123" i="7"/>
  <c r="V123" i="7"/>
  <c r="W123" i="7"/>
  <c r="X123" i="7"/>
  <c r="Y123" i="7"/>
  <c r="AC123" i="7"/>
  <c r="AD123" i="7"/>
  <c r="AE123" i="7"/>
  <c r="AF123" i="7"/>
  <c r="AG123" i="7"/>
  <c r="AH123" i="7"/>
  <c r="AI123" i="7"/>
  <c r="AJ123" i="7"/>
  <c r="AK123" i="7"/>
  <c r="AO123" i="7"/>
  <c r="AP123" i="7"/>
  <c r="E124" i="7"/>
  <c r="G124" i="7"/>
  <c r="I124" i="7"/>
  <c r="J124" i="7"/>
  <c r="L124" i="7"/>
  <c r="N124" i="7"/>
  <c r="O124" i="7"/>
  <c r="Q124" i="7"/>
  <c r="R124" i="7"/>
  <c r="S124" i="7"/>
  <c r="T124" i="7"/>
  <c r="U124" i="7"/>
  <c r="V124" i="7"/>
  <c r="W124" i="7"/>
  <c r="X124" i="7"/>
  <c r="Y124" i="7"/>
  <c r="AC124" i="7"/>
  <c r="AD124" i="7"/>
  <c r="AE124" i="7"/>
  <c r="AF124" i="7"/>
  <c r="AG124" i="7"/>
  <c r="AH124" i="7"/>
  <c r="AI124" i="7"/>
  <c r="AJ124" i="7"/>
  <c r="AK124" i="7"/>
  <c r="AO124" i="7"/>
  <c r="AP124" i="7"/>
  <c r="E125" i="7"/>
  <c r="G125" i="7"/>
  <c r="I125" i="7"/>
  <c r="J125" i="7"/>
  <c r="L125" i="7"/>
  <c r="N125" i="7"/>
  <c r="O125" i="7"/>
  <c r="Q125" i="7"/>
  <c r="R125" i="7"/>
  <c r="S125" i="7"/>
  <c r="T125" i="7"/>
  <c r="U125" i="7"/>
  <c r="V125" i="7"/>
  <c r="W125" i="7"/>
  <c r="X125" i="7"/>
  <c r="Y125" i="7"/>
  <c r="AC125" i="7"/>
  <c r="AD125" i="7"/>
  <c r="AE125" i="7"/>
  <c r="AF125" i="7"/>
  <c r="AG125" i="7"/>
  <c r="AH125" i="7"/>
  <c r="AI125" i="7"/>
  <c r="AJ125" i="7"/>
  <c r="AK125" i="7"/>
  <c r="AO125" i="7"/>
  <c r="AP125" i="7"/>
  <c r="D126" i="7"/>
  <c r="E126" i="7"/>
  <c r="G126" i="7"/>
  <c r="I126" i="7"/>
  <c r="J126" i="7"/>
  <c r="L126" i="7"/>
  <c r="N126" i="7"/>
  <c r="O126" i="7"/>
  <c r="Q126" i="7"/>
  <c r="R126" i="7"/>
  <c r="S126" i="7"/>
  <c r="T126" i="7"/>
  <c r="U126" i="7"/>
  <c r="V126" i="7"/>
  <c r="W126" i="7"/>
  <c r="X126" i="7"/>
  <c r="Y126" i="7"/>
  <c r="AC126" i="7"/>
  <c r="AD126" i="7"/>
  <c r="AE126" i="7"/>
  <c r="AF126" i="7"/>
  <c r="AG126" i="7"/>
  <c r="AH126" i="7"/>
  <c r="AI126" i="7"/>
  <c r="AJ126" i="7"/>
  <c r="AK126" i="7"/>
  <c r="AO126" i="7"/>
  <c r="AP126" i="7"/>
  <c r="D127" i="7"/>
  <c r="E127" i="7"/>
  <c r="G127" i="7"/>
  <c r="I127" i="7"/>
  <c r="J127" i="7"/>
  <c r="L127" i="7"/>
  <c r="N127" i="7"/>
  <c r="O127" i="7"/>
  <c r="Q127" i="7"/>
  <c r="R127" i="7"/>
  <c r="S127" i="7"/>
  <c r="T127" i="7"/>
  <c r="U127" i="7"/>
  <c r="V127" i="7"/>
  <c r="W127" i="7"/>
  <c r="X127" i="7"/>
  <c r="Y127" i="7"/>
  <c r="AC127" i="7"/>
  <c r="AD127" i="7"/>
  <c r="AE127" i="7"/>
  <c r="AF127" i="7"/>
  <c r="AG127" i="7"/>
  <c r="AH127" i="7"/>
  <c r="AI127" i="7"/>
  <c r="AJ127" i="7"/>
  <c r="AK127" i="7"/>
  <c r="AO127" i="7"/>
  <c r="AP127" i="7"/>
  <c r="AP128" i="7"/>
  <c r="D130" i="7"/>
  <c r="E130" i="7"/>
  <c r="G130" i="7"/>
  <c r="I130" i="7"/>
  <c r="J130" i="7"/>
  <c r="L130" i="7"/>
  <c r="N130" i="7"/>
  <c r="O130" i="7"/>
  <c r="Q130" i="7"/>
  <c r="R130" i="7"/>
  <c r="S130" i="7"/>
  <c r="T130" i="7"/>
  <c r="U130" i="7"/>
  <c r="V130" i="7"/>
  <c r="W130" i="7"/>
  <c r="X130" i="7"/>
  <c r="Y130" i="7"/>
  <c r="AC130" i="7"/>
  <c r="AD130" i="7"/>
  <c r="AE130" i="7"/>
  <c r="AF130" i="7"/>
  <c r="AG130" i="7"/>
  <c r="AH130" i="7"/>
  <c r="AI130" i="7"/>
  <c r="AJ130" i="7"/>
  <c r="AK130" i="7"/>
  <c r="AO130" i="7"/>
  <c r="AP130" i="7"/>
  <c r="E131" i="7"/>
  <c r="G131" i="7"/>
  <c r="I131" i="7"/>
  <c r="J131" i="7"/>
  <c r="L131" i="7"/>
  <c r="N131" i="7"/>
  <c r="O131" i="7"/>
  <c r="Q131" i="7"/>
  <c r="R131" i="7"/>
  <c r="S131" i="7"/>
  <c r="T131" i="7"/>
  <c r="U131" i="7"/>
  <c r="V131" i="7"/>
  <c r="W131" i="7"/>
  <c r="X131" i="7"/>
  <c r="Y131" i="7"/>
  <c r="AC131" i="7"/>
  <c r="AD131" i="7"/>
  <c r="AE131" i="7"/>
  <c r="AF131" i="7"/>
  <c r="AG131" i="7"/>
  <c r="AH131" i="7"/>
  <c r="AI131" i="7"/>
  <c r="AJ131" i="7"/>
  <c r="AK131" i="7"/>
  <c r="AO131" i="7"/>
  <c r="AP131" i="7"/>
  <c r="D132" i="7"/>
  <c r="E132" i="7"/>
  <c r="G132" i="7"/>
  <c r="I132" i="7"/>
  <c r="J132" i="7"/>
  <c r="L132" i="7"/>
  <c r="N132" i="7"/>
  <c r="O132" i="7"/>
  <c r="Q132" i="7"/>
  <c r="R132" i="7"/>
  <c r="S132" i="7"/>
  <c r="T132" i="7"/>
  <c r="U132" i="7"/>
  <c r="V132" i="7"/>
  <c r="W132" i="7"/>
  <c r="X132" i="7"/>
  <c r="Y132" i="7"/>
  <c r="AC132" i="7"/>
  <c r="AD132" i="7"/>
  <c r="AE132" i="7"/>
  <c r="AF132" i="7"/>
  <c r="AG132" i="7"/>
  <c r="AH132" i="7"/>
  <c r="AI132" i="7"/>
  <c r="AJ132" i="7"/>
  <c r="AK132" i="7"/>
  <c r="AO132" i="7"/>
  <c r="AP132" i="7"/>
  <c r="D133" i="7"/>
  <c r="E133" i="7"/>
  <c r="G133" i="7"/>
  <c r="I133" i="7"/>
  <c r="J133" i="7"/>
  <c r="L133" i="7"/>
  <c r="N133" i="7"/>
  <c r="O133" i="7"/>
  <c r="Q133" i="7"/>
  <c r="R133" i="7"/>
  <c r="S133" i="7"/>
  <c r="T133" i="7"/>
  <c r="U133" i="7"/>
  <c r="V133" i="7"/>
  <c r="W133" i="7"/>
  <c r="X133" i="7"/>
  <c r="Y133" i="7"/>
  <c r="AC133" i="7"/>
  <c r="AD133" i="7"/>
  <c r="AE133" i="7"/>
  <c r="AF133" i="7"/>
  <c r="AG133" i="7"/>
  <c r="AH133" i="7"/>
  <c r="AI133" i="7"/>
  <c r="AJ133" i="7"/>
  <c r="AK133" i="7"/>
  <c r="AO133" i="7"/>
  <c r="AP133" i="7"/>
  <c r="D134" i="7"/>
  <c r="E134" i="7"/>
  <c r="G134" i="7"/>
  <c r="I134" i="7"/>
  <c r="J134" i="7"/>
  <c r="L134" i="7"/>
  <c r="N134" i="7"/>
  <c r="O134" i="7"/>
  <c r="Q134" i="7"/>
  <c r="R134" i="7"/>
  <c r="S134" i="7"/>
  <c r="T134" i="7"/>
  <c r="U134" i="7"/>
  <c r="V134" i="7"/>
  <c r="W134" i="7"/>
  <c r="X134" i="7"/>
  <c r="Y134" i="7"/>
  <c r="AC134" i="7"/>
  <c r="AD134" i="7"/>
  <c r="AE134" i="7"/>
  <c r="AF134" i="7"/>
  <c r="AG134" i="7"/>
  <c r="AH134" i="7"/>
  <c r="AI134" i="7"/>
  <c r="AJ134" i="7"/>
  <c r="AK134" i="7"/>
  <c r="AO134" i="7"/>
  <c r="AP134" i="7"/>
  <c r="D135" i="7"/>
  <c r="E135" i="7"/>
  <c r="G135" i="7"/>
  <c r="I135" i="7"/>
  <c r="J135" i="7"/>
  <c r="L135" i="7"/>
  <c r="N135" i="7"/>
  <c r="O135" i="7"/>
  <c r="Q135" i="7"/>
  <c r="R135" i="7"/>
  <c r="S135" i="7"/>
  <c r="T135" i="7"/>
  <c r="U135" i="7"/>
  <c r="V135" i="7"/>
  <c r="W135" i="7"/>
  <c r="X135" i="7"/>
  <c r="Y135" i="7"/>
  <c r="AC135" i="7"/>
  <c r="AD135" i="7"/>
  <c r="AE135" i="7"/>
  <c r="AF135" i="7"/>
  <c r="AG135" i="7"/>
  <c r="AH135" i="7"/>
  <c r="AI135" i="7"/>
  <c r="AJ135" i="7"/>
  <c r="AK135" i="7"/>
  <c r="AO135" i="7"/>
  <c r="AP135" i="7"/>
  <c r="E136" i="7"/>
  <c r="G136" i="7"/>
  <c r="I136" i="7"/>
  <c r="J136" i="7"/>
  <c r="L136" i="7"/>
  <c r="N136" i="7"/>
  <c r="O136" i="7"/>
  <c r="Q136" i="7"/>
  <c r="R136" i="7"/>
  <c r="S136" i="7"/>
  <c r="T136" i="7"/>
  <c r="U136" i="7"/>
  <c r="V136" i="7"/>
  <c r="W136" i="7"/>
  <c r="X136" i="7"/>
  <c r="Y136" i="7"/>
  <c r="AC136" i="7"/>
  <c r="AD136" i="7"/>
  <c r="AE136" i="7"/>
  <c r="AF136" i="7"/>
  <c r="AG136" i="7"/>
  <c r="AH136" i="7"/>
  <c r="AI136" i="7"/>
  <c r="AJ136" i="7"/>
  <c r="AK136" i="7"/>
  <c r="AO136" i="7"/>
  <c r="AP136" i="7"/>
  <c r="AP137" i="7"/>
  <c r="AP139" i="7"/>
  <c r="C7" i="8"/>
  <c r="D7" i="8"/>
  <c r="E7" i="8"/>
  <c r="G7" i="8"/>
  <c r="H7" i="8"/>
  <c r="C8" i="8"/>
  <c r="D8" i="8"/>
  <c r="E8" i="8"/>
  <c r="G8" i="8"/>
  <c r="H8" i="8"/>
  <c r="H9" i="8"/>
  <c r="T14" i="9"/>
  <c r="AQ7" i="5"/>
  <c r="D7" i="10"/>
  <c r="E7" i="10"/>
  <c r="F7" i="10"/>
  <c r="G7" i="10"/>
  <c r="AQ8" i="5"/>
  <c r="D8" i="10"/>
  <c r="E8" i="10"/>
  <c r="F8" i="10"/>
  <c r="G8" i="10"/>
  <c r="AQ9" i="5"/>
  <c r="D9" i="10"/>
  <c r="E9" i="10"/>
  <c r="F9" i="10"/>
  <c r="G9" i="10"/>
  <c r="AQ10" i="5"/>
  <c r="D10" i="10"/>
  <c r="E10" i="10"/>
  <c r="F10" i="10"/>
  <c r="G10" i="10"/>
  <c r="AQ11" i="5"/>
  <c r="D11" i="10"/>
  <c r="E11" i="10"/>
  <c r="F11" i="10"/>
  <c r="G11" i="10"/>
  <c r="AQ12" i="5"/>
  <c r="D12" i="10"/>
  <c r="E12" i="10"/>
  <c r="F12" i="10"/>
  <c r="G12" i="10"/>
  <c r="AQ13" i="5"/>
  <c r="D13" i="10"/>
  <c r="E13" i="10"/>
  <c r="F13" i="10"/>
  <c r="G13" i="10"/>
  <c r="AQ14" i="5"/>
  <c r="D14" i="10"/>
  <c r="E14" i="10"/>
  <c r="F14" i="10"/>
  <c r="G14" i="10"/>
  <c r="AQ15" i="5"/>
  <c r="D15" i="10"/>
  <c r="E15" i="10"/>
  <c r="F15" i="10"/>
  <c r="G15" i="10"/>
  <c r="AQ16" i="5"/>
  <c r="D16" i="10"/>
  <c r="E16" i="10"/>
  <c r="F16" i="10"/>
  <c r="G16" i="10"/>
  <c r="AQ17" i="5"/>
  <c r="D17" i="10"/>
  <c r="E17" i="10"/>
  <c r="F17" i="10"/>
  <c r="G17" i="10"/>
  <c r="AQ18" i="5"/>
  <c r="D18" i="10"/>
  <c r="E18" i="10"/>
  <c r="F18" i="10"/>
  <c r="G18" i="10"/>
  <c r="AQ19" i="5"/>
  <c r="D19" i="10"/>
  <c r="E19" i="10"/>
  <c r="F19" i="10"/>
  <c r="G19" i="10"/>
  <c r="AQ20" i="5"/>
  <c r="D20" i="10"/>
  <c r="E20" i="10"/>
  <c r="F20" i="10"/>
  <c r="G20" i="10"/>
  <c r="AQ21" i="5"/>
  <c r="D21" i="10"/>
  <c r="E21" i="10"/>
  <c r="F21" i="10"/>
  <c r="G21" i="10"/>
  <c r="AQ22" i="5"/>
  <c r="D22" i="10"/>
  <c r="E22" i="10"/>
  <c r="F22" i="10"/>
  <c r="G22" i="10"/>
  <c r="AQ23" i="5"/>
  <c r="D23" i="10"/>
  <c r="E23" i="10"/>
  <c r="F23" i="10"/>
  <c r="G23" i="10"/>
  <c r="AQ24" i="5"/>
  <c r="D24" i="10"/>
  <c r="E24" i="10"/>
  <c r="F24" i="10"/>
  <c r="G24" i="10"/>
  <c r="AQ25" i="5"/>
  <c r="D25" i="10"/>
  <c r="E25" i="10"/>
  <c r="F25" i="10"/>
  <c r="G25" i="10"/>
  <c r="AQ26" i="5"/>
  <c r="D26" i="10"/>
  <c r="E26" i="10"/>
  <c r="F26" i="10"/>
  <c r="G26" i="10"/>
  <c r="AQ27" i="5"/>
  <c r="D27" i="10"/>
  <c r="E27" i="10"/>
  <c r="F27" i="10"/>
  <c r="G27" i="10"/>
  <c r="AQ28" i="5"/>
  <c r="D28" i="10"/>
  <c r="E28" i="10"/>
  <c r="F28" i="10"/>
  <c r="G28" i="10"/>
  <c r="AQ29" i="5"/>
  <c r="D29" i="10"/>
  <c r="E29" i="10"/>
  <c r="F29" i="10"/>
  <c r="G29" i="10"/>
  <c r="AQ30" i="5"/>
  <c r="D30" i="10"/>
  <c r="E30" i="10"/>
  <c r="F30" i="10"/>
  <c r="G30" i="10"/>
  <c r="AQ31" i="5"/>
  <c r="D31" i="10"/>
  <c r="E31" i="10"/>
  <c r="F31" i="10"/>
  <c r="G31" i="10"/>
  <c r="AQ32" i="5"/>
  <c r="D32" i="10"/>
  <c r="E32" i="10"/>
  <c r="F32" i="10"/>
  <c r="G32" i="10"/>
  <c r="AQ33" i="5"/>
  <c r="D33" i="10"/>
  <c r="E33" i="10"/>
  <c r="F33" i="10"/>
  <c r="G33" i="10"/>
  <c r="AQ34" i="5"/>
  <c r="D34" i="10"/>
  <c r="E34" i="10"/>
  <c r="F34" i="10"/>
  <c r="G34" i="10"/>
  <c r="AQ35" i="5"/>
  <c r="D35" i="10"/>
  <c r="E35" i="10"/>
  <c r="F35" i="10"/>
  <c r="G35" i="10"/>
  <c r="AQ36" i="5"/>
  <c r="D36" i="10"/>
  <c r="E36" i="10"/>
  <c r="F36" i="10"/>
  <c r="G36" i="10"/>
  <c r="AQ37" i="5"/>
  <c r="D37" i="10"/>
  <c r="E37" i="10"/>
  <c r="F37" i="10"/>
  <c r="G37" i="10"/>
  <c r="AQ38" i="5"/>
  <c r="D38" i="10"/>
  <c r="E38" i="10"/>
  <c r="F38" i="10"/>
  <c r="G38" i="10"/>
  <c r="AQ39" i="5"/>
  <c r="D39" i="10"/>
  <c r="E39" i="10"/>
  <c r="F39" i="10"/>
  <c r="G39" i="10"/>
  <c r="AQ40" i="5"/>
  <c r="D40" i="10"/>
  <c r="E40" i="10"/>
  <c r="F40" i="10"/>
  <c r="G40" i="10"/>
  <c r="AQ41" i="5"/>
  <c r="D41" i="10"/>
  <c r="E41" i="10"/>
  <c r="F41" i="10"/>
  <c r="G41" i="10"/>
  <c r="AQ42" i="5"/>
  <c r="D42" i="10"/>
  <c r="E42" i="10"/>
  <c r="F42" i="10"/>
  <c r="G42" i="10"/>
  <c r="AQ43" i="5"/>
  <c r="D43" i="10"/>
  <c r="E43" i="10"/>
  <c r="F43" i="10"/>
  <c r="G43" i="10"/>
  <c r="AQ44" i="5"/>
  <c r="D44" i="10"/>
  <c r="E44" i="10"/>
  <c r="F44" i="10"/>
  <c r="G44" i="10"/>
  <c r="AQ45" i="5"/>
  <c r="D45" i="10"/>
  <c r="E45" i="10"/>
  <c r="F45" i="10"/>
  <c r="G45" i="10"/>
  <c r="AQ46" i="5"/>
  <c r="D46" i="10"/>
  <c r="E46" i="10"/>
  <c r="F46" i="10"/>
  <c r="G46" i="10"/>
  <c r="AQ47" i="5"/>
  <c r="D47" i="10"/>
  <c r="E47" i="10"/>
  <c r="F47" i="10"/>
  <c r="G47" i="10"/>
  <c r="AQ48" i="5"/>
  <c r="D48" i="10"/>
  <c r="E48" i="10"/>
  <c r="F48" i="10"/>
  <c r="G48" i="10"/>
  <c r="AQ49" i="5"/>
  <c r="D49" i="10"/>
  <c r="E49" i="10"/>
  <c r="F49" i="10"/>
  <c r="G49" i="10"/>
  <c r="AQ50" i="5"/>
  <c r="D50" i="10"/>
  <c r="E50" i="10"/>
  <c r="F50" i="10"/>
  <c r="G50" i="10"/>
  <c r="AQ51" i="5"/>
  <c r="D51" i="10"/>
  <c r="E51" i="10"/>
  <c r="F51" i="10"/>
  <c r="G51" i="10"/>
  <c r="AQ52" i="5"/>
  <c r="D52" i="10"/>
  <c r="E52" i="10"/>
  <c r="F52" i="10"/>
  <c r="G52" i="10"/>
  <c r="AQ53" i="5"/>
  <c r="D53" i="10"/>
  <c r="E53" i="10"/>
  <c r="F53" i="10"/>
  <c r="G53" i="10"/>
  <c r="AQ54" i="5"/>
  <c r="D54" i="10"/>
  <c r="E54" i="10"/>
  <c r="F54" i="10"/>
  <c r="G54" i="10"/>
  <c r="AQ55" i="5"/>
  <c r="D55" i="10"/>
  <c r="E55" i="10"/>
  <c r="F55" i="10"/>
  <c r="G55" i="10"/>
  <c r="AQ56" i="5"/>
  <c r="D56" i="10"/>
  <c r="E56" i="10"/>
  <c r="F56" i="10"/>
  <c r="G56" i="10"/>
  <c r="AQ57" i="5"/>
  <c r="D57" i="10"/>
  <c r="E57" i="10"/>
  <c r="F57" i="10"/>
  <c r="G57" i="10"/>
  <c r="AQ58" i="5"/>
  <c r="D58" i="10"/>
  <c r="E58" i="10"/>
  <c r="F58" i="10"/>
  <c r="G58" i="10"/>
  <c r="AQ59" i="5"/>
  <c r="D59" i="10"/>
  <c r="E59" i="10"/>
  <c r="F59" i="10"/>
  <c r="G59" i="10"/>
  <c r="AQ60" i="5"/>
  <c r="D60" i="10"/>
  <c r="E60" i="10"/>
  <c r="F60" i="10"/>
  <c r="G60" i="10"/>
  <c r="AQ61" i="5"/>
  <c r="D61" i="10"/>
  <c r="E61" i="10"/>
  <c r="F61" i="10"/>
  <c r="G61" i="10"/>
  <c r="AQ62" i="5"/>
  <c r="D62" i="10"/>
  <c r="E62" i="10"/>
  <c r="F62" i="10"/>
  <c r="G62" i="10"/>
  <c r="AQ63" i="5"/>
  <c r="D63" i="10"/>
  <c r="E63" i="10"/>
  <c r="F63" i="10"/>
  <c r="G63" i="10"/>
  <c r="AQ64" i="5"/>
  <c r="D64" i="10"/>
  <c r="E64" i="10"/>
  <c r="F64" i="10"/>
  <c r="G64" i="10"/>
  <c r="AQ65" i="5"/>
  <c r="D65" i="10"/>
  <c r="E65" i="10"/>
  <c r="F65" i="10"/>
  <c r="G65" i="10"/>
  <c r="AQ66" i="5"/>
  <c r="D66" i="10"/>
  <c r="E66" i="10"/>
  <c r="F66" i="10"/>
  <c r="G66" i="10"/>
  <c r="AQ67" i="5"/>
  <c r="D67" i="10"/>
  <c r="E67" i="10"/>
  <c r="F67" i="10"/>
  <c r="G67" i="10"/>
  <c r="AQ68" i="5"/>
  <c r="D68" i="10"/>
  <c r="E68" i="10"/>
  <c r="F68" i="10"/>
  <c r="G68" i="10"/>
  <c r="AQ69" i="5"/>
  <c r="D69" i="10"/>
  <c r="E69" i="10"/>
  <c r="F69" i="10"/>
  <c r="G69" i="10"/>
  <c r="AQ70" i="5"/>
  <c r="D70" i="10"/>
  <c r="E70" i="10"/>
  <c r="F70" i="10"/>
  <c r="G70" i="10"/>
  <c r="AQ71" i="5"/>
  <c r="D71" i="10"/>
  <c r="E71" i="10"/>
  <c r="F71" i="10"/>
  <c r="G71" i="10"/>
  <c r="AQ72" i="5"/>
  <c r="D72" i="10"/>
  <c r="E72" i="10"/>
  <c r="F72" i="10"/>
  <c r="G72" i="10"/>
  <c r="AQ73" i="5"/>
  <c r="D73" i="10"/>
  <c r="E73" i="10"/>
  <c r="F73" i="10"/>
  <c r="G73" i="10"/>
  <c r="AQ74" i="5"/>
  <c r="D74" i="10"/>
  <c r="E74" i="10"/>
  <c r="F74" i="10"/>
  <c r="G74" i="10"/>
  <c r="AQ75" i="5"/>
  <c r="D75" i="10"/>
  <c r="E75" i="10"/>
  <c r="F75" i="10"/>
  <c r="G75" i="10"/>
  <c r="G76" i="10"/>
  <c r="C7" i="12"/>
  <c r="D7" i="12"/>
  <c r="E7" i="12"/>
  <c r="C8" i="12"/>
  <c r="D8" i="12"/>
  <c r="E8" i="12"/>
  <c r="C9" i="12"/>
  <c r="D9" i="12"/>
  <c r="E9" i="12"/>
  <c r="C10" i="12"/>
  <c r="D10" i="12"/>
  <c r="E10" i="12"/>
  <c r="C11" i="12"/>
  <c r="D11" i="12"/>
  <c r="E11" i="12"/>
  <c r="C12" i="12"/>
  <c r="D12" i="12"/>
  <c r="E12" i="12"/>
  <c r="C13" i="12"/>
  <c r="D13" i="12"/>
  <c r="E13" i="12"/>
  <c r="C14" i="12"/>
  <c r="D14" i="12"/>
  <c r="E14" i="12"/>
  <c r="C15" i="12"/>
  <c r="D15" i="12"/>
  <c r="E15" i="12"/>
  <c r="C16" i="12"/>
  <c r="D16" i="12"/>
  <c r="E16" i="12"/>
  <c r="C17" i="12"/>
  <c r="D17" i="12"/>
  <c r="E17" i="12"/>
  <c r="C18" i="12"/>
  <c r="D18" i="12"/>
  <c r="E18" i="12"/>
  <c r="C19" i="12"/>
  <c r="D19" i="12"/>
  <c r="E19" i="12"/>
  <c r="C20" i="12"/>
  <c r="D20" i="12"/>
  <c r="E20" i="12"/>
  <c r="C21" i="12"/>
  <c r="D21" i="12"/>
  <c r="E21" i="12"/>
  <c r="C22" i="12"/>
  <c r="D22" i="12"/>
  <c r="E22" i="12"/>
  <c r="C23" i="12"/>
  <c r="D23" i="12"/>
  <c r="E23" i="12"/>
  <c r="C24" i="12"/>
  <c r="D24" i="12"/>
  <c r="E24" i="12"/>
  <c r="C25" i="12"/>
  <c r="D25" i="12"/>
  <c r="E25" i="12"/>
  <c r="C26" i="12"/>
  <c r="D26" i="12"/>
  <c r="E26" i="12"/>
  <c r="C27" i="12"/>
  <c r="D27" i="12"/>
  <c r="E27" i="12"/>
  <c r="C28" i="12"/>
  <c r="D28" i="12"/>
  <c r="E28" i="12"/>
  <c r="C29" i="12"/>
  <c r="D29" i="12"/>
  <c r="E29" i="12"/>
  <c r="C30" i="12"/>
  <c r="D30" i="12"/>
  <c r="E30" i="12"/>
  <c r="C31" i="12"/>
  <c r="D31" i="12"/>
  <c r="E31" i="12"/>
  <c r="C32" i="12"/>
  <c r="D32" i="12"/>
  <c r="E32" i="12"/>
  <c r="C33" i="12"/>
  <c r="D33" i="12"/>
  <c r="E33" i="12"/>
  <c r="C34" i="12"/>
  <c r="D34" i="12"/>
  <c r="E34" i="12"/>
  <c r="C35" i="12"/>
  <c r="D35" i="12"/>
  <c r="E35" i="12"/>
  <c r="C36" i="12"/>
  <c r="D36" i="12"/>
  <c r="E36" i="12"/>
  <c r="C37" i="12"/>
  <c r="D37" i="12"/>
  <c r="E37" i="12"/>
  <c r="C38" i="12"/>
  <c r="D38" i="12"/>
  <c r="E38" i="12"/>
  <c r="C39" i="12"/>
  <c r="D39" i="12"/>
  <c r="E39" i="12"/>
  <c r="C40" i="12"/>
  <c r="D40" i="12"/>
  <c r="E40" i="12"/>
  <c r="C41" i="12"/>
  <c r="D41" i="12"/>
  <c r="E41" i="12"/>
  <c r="C42" i="12"/>
  <c r="D42" i="12"/>
  <c r="E42" i="12"/>
  <c r="C43" i="12"/>
  <c r="D43" i="12"/>
  <c r="E43" i="12"/>
  <c r="C44" i="12"/>
  <c r="D44" i="12"/>
  <c r="E44" i="12"/>
  <c r="C45" i="12"/>
  <c r="D45" i="12"/>
  <c r="E45" i="12"/>
  <c r="C46" i="12"/>
  <c r="D46" i="12"/>
  <c r="E46" i="12"/>
  <c r="C47" i="12"/>
  <c r="D47" i="12"/>
  <c r="E47" i="12"/>
  <c r="C48" i="12"/>
  <c r="D48" i="12"/>
  <c r="E48" i="12"/>
  <c r="C49" i="12"/>
  <c r="D49" i="12"/>
  <c r="E49" i="12"/>
  <c r="C50" i="12"/>
  <c r="D50" i="12"/>
  <c r="E50" i="12"/>
  <c r="C51" i="12"/>
  <c r="D51" i="12"/>
  <c r="E51" i="12"/>
  <c r="C52" i="12"/>
  <c r="D52" i="12"/>
  <c r="E52" i="12"/>
  <c r="C53" i="12"/>
  <c r="D53" i="12"/>
  <c r="E53" i="12"/>
  <c r="C54" i="12"/>
  <c r="D54" i="12"/>
  <c r="E54" i="12"/>
  <c r="C55" i="12"/>
  <c r="D55" i="12"/>
  <c r="E55" i="12"/>
  <c r="C56" i="12"/>
  <c r="D56" i="12"/>
  <c r="E56" i="12"/>
  <c r="C57" i="12"/>
  <c r="D57" i="12"/>
  <c r="E57" i="12"/>
  <c r="C58" i="12"/>
  <c r="D58" i="12"/>
  <c r="E58" i="12"/>
  <c r="C59" i="12"/>
  <c r="D59" i="12"/>
  <c r="E59" i="12"/>
  <c r="C60" i="12"/>
  <c r="D60" i="12"/>
  <c r="E60" i="12"/>
  <c r="C61" i="12"/>
  <c r="D61" i="12"/>
  <c r="E61" i="12"/>
  <c r="C62" i="12"/>
  <c r="D62" i="12"/>
  <c r="E62" i="12"/>
  <c r="C63" i="12"/>
  <c r="D63" i="12"/>
  <c r="E63" i="12"/>
  <c r="C64" i="12"/>
  <c r="D64" i="12"/>
  <c r="E64" i="12"/>
  <c r="C65" i="12"/>
  <c r="D65" i="12"/>
  <c r="E65" i="12"/>
  <c r="C66" i="12"/>
  <c r="D66" i="12"/>
  <c r="E66" i="12"/>
  <c r="C67" i="12"/>
  <c r="D67" i="12"/>
  <c r="E67" i="12"/>
  <c r="C68" i="12"/>
  <c r="D68" i="12"/>
  <c r="E68" i="12"/>
  <c r="C69" i="12"/>
  <c r="D69" i="12"/>
  <c r="E69" i="12"/>
  <c r="C70" i="12"/>
  <c r="D70" i="12"/>
  <c r="E70" i="12"/>
  <c r="C71" i="12"/>
  <c r="D71" i="12"/>
  <c r="E71" i="12"/>
  <c r="C72" i="12"/>
  <c r="D72" i="12"/>
  <c r="E72" i="12"/>
  <c r="C73" i="12"/>
  <c r="D73" i="12"/>
  <c r="E73" i="12"/>
  <c r="C74" i="12"/>
  <c r="D74" i="12"/>
  <c r="E74" i="12"/>
  <c r="C75" i="12"/>
  <c r="D75" i="12"/>
  <c r="E75" i="12"/>
  <c r="E76" i="12"/>
  <c r="E85" i="12"/>
  <c r="C7" i="11"/>
  <c r="D7" i="11"/>
  <c r="E7" i="11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67" i="11"/>
  <c r="D67" i="11"/>
  <c r="E67" i="11"/>
  <c r="C68" i="11"/>
  <c r="D68" i="11"/>
  <c r="E68" i="11"/>
  <c r="C69" i="11"/>
  <c r="D69" i="11"/>
  <c r="E69" i="11"/>
  <c r="C70" i="11"/>
  <c r="D70" i="11"/>
  <c r="E70" i="11"/>
  <c r="C71" i="11"/>
  <c r="D71" i="11"/>
  <c r="E71" i="11"/>
  <c r="C72" i="11"/>
  <c r="D72" i="11"/>
  <c r="E72" i="11"/>
  <c r="C73" i="11"/>
  <c r="D73" i="11"/>
  <c r="E73" i="11"/>
  <c r="C74" i="11"/>
  <c r="D74" i="11"/>
  <c r="E74" i="11"/>
  <c r="C75" i="11"/>
  <c r="D75" i="11"/>
  <c r="E75" i="11"/>
  <c r="E76" i="11"/>
  <c r="E85" i="11"/>
  <c r="C7" i="13"/>
  <c r="D7" i="13"/>
  <c r="E7" i="13"/>
  <c r="C8" i="13"/>
  <c r="D8" i="13"/>
  <c r="E8" i="13"/>
  <c r="C9" i="13"/>
  <c r="D9" i="13"/>
  <c r="E9" i="13"/>
  <c r="C10" i="13"/>
  <c r="D10" i="13"/>
  <c r="E10" i="13"/>
  <c r="C11" i="13"/>
  <c r="D11" i="13"/>
  <c r="E11" i="13"/>
  <c r="C12" i="13"/>
  <c r="D12" i="13"/>
  <c r="E12" i="13"/>
  <c r="C13" i="13"/>
  <c r="D13" i="13"/>
  <c r="E13" i="13"/>
  <c r="C14" i="13"/>
  <c r="D14" i="13"/>
  <c r="E14" i="13"/>
  <c r="C15" i="13"/>
  <c r="D15" i="13"/>
  <c r="E15" i="13"/>
  <c r="C16" i="13"/>
  <c r="D16" i="13"/>
  <c r="E16" i="13"/>
  <c r="C17" i="13"/>
  <c r="D17" i="13"/>
  <c r="E17" i="13"/>
  <c r="C18" i="13"/>
  <c r="D18" i="13"/>
  <c r="E18" i="13"/>
  <c r="C19" i="13"/>
  <c r="D19" i="13"/>
  <c r="E19" i="13"/>
  <c r="C20" i="13"/>
  <c r="D20" i="13"/>
  <c r="E20" i="13"/>
  <c r="C21" i="13"/>
  <c r="D21" i="13"/>
  <c r="E21" i="13"/>
  <c r="C22" i="13"/>
  <c r="D22" i="13"/>
  <c r="E22" i="13"/>
  <c r="C23" i="13"/>
  <c r="D23" i="13"/>
  <c r="E23" i="13"/>
  <c r="C24" i="13"/>
  <c r="D24" i="13"/>
  <c r="E24" i="13"/>
  <c r="C25" i="13"/>
  <c r="D25" i="13"/>
  <c r="E25" i="13"/>
  <c r="C26" i="13"/>
  <c r="D26" i="13"/>
  <c r="E26" i="13"/>
  <c r="C27" i="13"/>
  <c r="D27" i="13"/>
  <c r="E27" i="13"/>
  <c r="C28" i="13"/>
  <c r="D28" i="13"/>
  <c r="E28" i="13"/>
  <c r="C29" i="13"/>
  <c r="D29" i="13"/>
  <c r="E29" i="13"/>
  <c r="C30" i="13"/>
  <c r="D30" i="13"/>
  <c r="E30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5" i="13"/>
  <c r="D35" i="13"/>
  <c r="E35" i="13"/>
  <c r="C36" i="13"/>
  <c r="D36" i="13"/>
  <c r="E36" i="13"/>
  <c r="C37" i="13"/>
  <c r="D37" i="13"/>
  <c r="E37" i="13"/>
  <c r="C38" i="13"/>
  <c r="D38" i="13"/>
  <c r="E38" i="13"/>
  <c r="C39" i="13"/>
  <c r="D39" i="13"/>
  <c r="E39" i="13"/>
  <c r="C40" i="13"/>
  <c r="D40" i="13"/>
  <c r="E40" i="13"/>
  <c r="C41" i="13"/>
  <c r="D41" i="13"/>
  <c r="E41" i="13"/>
  <c r="C42" i="13"/>
  <c r="D42" i="13"/>
  <c r="E42" i="13"/>
  <c r="C43" i="13"/>
  <c r="D43" i="13"/>
  <c r="E43" i="13"/>
  <c r="C44" i="13"/>
  <c r="D44" i="13"/>
  <c r="E44" i="13"/>
  <c r="C45" i="13"/>
  <c r="D45" i="13"/>
  <c r="E45" i="13"/>
  <c r="C46" i="13"/>
  <c r="D46" i="13"/>
  <c r="E46" i="13"/>
  <c r="C47" i="13"/>
  <c r="D47" i="13"/>
  <c r="E47" i="13"/>
  <c r="C48" i="13"/>
  <c r="D48" i="13"/>
  <c r="E48" i="13"/>
  <c r="C49" i="13"/>
  <c r="D49" i="13"/>
  <c r="E49" i="13"/>
  <c r="C50" i="13"/>
  <c r="D50" i="13"/>
  <c r="E50" i="13"/>
  <c r="C51" i="13"/>
  <c r="D51" i="13"/>
  <c r="E51" i="13"/>
  <c r="C52" i="13"/>
  <c r="D52" i="13"/>
  <c r="E52" i="13"/>
  <c r="C53" i="13"/>
  <c r="D53" i="13"/>
  <c r="E53" i="13"/>
  <c r="C54" i="13"/>
  <c r="D54" i="13"/>
  <c r="E54" i="13"/>
  <c r="C55" i="13"/>
  <c r="D55" i="13"/>
  <c r="E55" i="13"/>
  <c r="C56" i="13"/>
  <c r="D56" i="13"/>
  <c r="E56" i="13"/>
  <c r="C57" i="13"/>
  <c r="D57" i="13"/>
  <c r="E57" i="13"/>
  <c r="C58" i="13"/>
  <c r="D58" i="13"/>
  <c r="E58" i="13"/>
  <c r="C59" i="13"/>
  <c r="D59" i="13"/>
  <c r="E59" i="13"/>
  <c r="C60" i="13"/>
  <c r="D60" i="13"/>
  <c r="E60" i="13"/>
  <c r="C61" i="13"/>
  <c r="D61" i="13"/>
  <c r="E61" i="13"/>
  <c r="C62" i="13"/>
  <c r="D62" i="13"/>
  <c r="E62" i="13"/>
  <c r="C63" i="13"/>
  <c r="D63" i="13"/>
  <c r="E63" i="13"/>
  <c r="C64" i="13"/>
  <c r="D64" i="13"/>
  <c r="E64" i="13"/>
  <c r="C65" i="13"/>
  <c r="D65" i="13"/>
  <c r="E65" i="13"/>
  <c r="C66" i="13"/>
  <c r="D66" i="13"/>
  <c r="E66" i="13"/>
  <c r="C67" i="13"/>
  <c r="D67" i="13"/>
  <c r="E67" i="13"/>
  <c r="C68" i="13"/>
  <c r="D68" i="13"/>
  <c r="E68" i="13"/>
  <c r="C69" i="13"/>
  <c r="D69" i="13"/>
  <c r="E69" i="13"/>
  <c r="C70" i="13"/>
  <c r="D70" i="13"/>
  <c r="E70" i="13"/>
  <c r="C71" i="13"/>
  <c r="D71" i="13"/>
  <c r="E71" i="13"/>
  <c r="C72" i="13"/>
  <c r="D72" i="13"/>
  <c r="E72" i="13"/>
  <c r="C73" i="13"/>
  <c r="D73" i="13"/>
  <c r="E73" i="13"/>
  <c r="C74" i="13"/>
  <c r="D74" i="13"/>
  <c r="E74" i="13"/>
  <c r="C75" i="13"/>
  <c r="D75" i="13"/>
  <c r="E75" i="13"/>
  <c r="E76" i="13"/>
  <c r="E85" i="13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M7" i="8"/>
  <c r="M8" i="8"/>
  <c r="M9" i="8"/>
  <c r="AA14" i="9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85" i="11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85" i="12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85" i="13"/>
  <c r="R7" i="14"/>
  <c r="R8" i="14"/>
  <c r="R9" i="14"/>
  <c r="R11" i="14"/>
  <c r="R12" i="14"/>
  <c r="R13" i="14"/>
  <c r="R14" i="14"/>
  <c r="R15" i="14"/>
  <c r="R16" i="14"/>
  <c r="R20" i="14"/>
  <c r="Z40" i="15"/>
  <c r="B9" i="1"/>
  <c r="B11" i="1"/>
  <c r="I77" i="16"/>
  <c r="J76" i="16"/>
  <c r="I76" i="16"/>
  <c r="H76" i="16"/>
  <c r="G7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E76" i="16"/>
  <c r="D7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D4" i="16"/>
  <c r="E4" i="16"/>
  <c r="F4" i="16"/>
  <c r="G4" i="16"/>
  <c r="H4" i="16"/>
  <c r="I4" i="16"/>
  <c r="J4" i="16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G40" i="15"/>
  <c r="AF40" i="15"/>
  <c r="AE40" i="15"/>
  <c r="AD40" i="15"/>
  <c r="AC40" i="15"/>
  <c r="AB40" i="15"/>
  <c r="AA40" i="15"/>
  <c r="Y40" i="15"/>
  <c r="X40" i="15"/>
  <c r="W40" i="15"/>
  <c r="V40" i="15"/>
  <c r="U40" i="15"/>
  <c r="T40" i="15"/>
  <c r="S40" i="15"/>
  <c r="R40" i="15"/>
  <c r="P40" i="15"/>
  <c r="O40" i="15"/>
  <c r="M40" i="15"/>
  <c r="L40" i="15"/>
  <c r="J40" i="15"/>
  <c r="I40" i="15"/>
  <c r="G40" i="15"/>
  <c r="F40" i="15"/>
  <c r="D40" i="15"/>
  <c r="AH4" i="15"/>
  <c r="AI4" i="15"/>
  <c r="AJ4" i="15"/>
  <c r="AK4" i="15"/>
  <c r="AL4" i="15"/>
  <c r="AM4" i="15"/>
  <c r="AN4" i="15"/>
  <c r="AO4" i="15"/>
  <c r="AP4" i="15"/>
  <c r="AQ4" i="15"/>
  <c r="AR4" i="15"/>
  <c r="AS4" i="15"/>
  <c r="AT4" i="15"/>
  <c r="AU4" i="15"/>
  <c r="AV4" i="15"/>
  <c r="AC4" i="15"/>
  <c r="AD4" i="15"/>
  <c r="AE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U4" i="15"/>
  <c r="V4" i="15"/>
  <c r="W4" i="15"/>
  <c r="X4" i="15"/>
  <c r="Y4" i="15"/>
  <c r="Z4" i="15"/>
  <c r="AV21" i="14"/>
  <c r="AO9" i="14"/>
  <c r="AF11" i="14"/>
  <c r="AG11" i="14"/>
  <c r="AK11" i="14"/>
  <c r="AI11" i="14"/>
  <c r="AL11" i="14"/>
  <c r="AM11" i="14"/>
  <c r="AO11" i="14"/>
  <c r="AF12" i="14"/>
  <c r="AG12" i="14"/>
  <c r="AK12" i="14"/>
  <c r="AI12" i="14"/>
  <c r="AL12" i="14"/>
  <c r="AM12" i="14"/>
  <c r="AO12" i="14"/>
  <c r="AF13" i="14"/>
  <c r="AG13" i="14"/>
  <c r="AK13" i="14"/>
  <c r="AI13" i="14"/>
  <c r="AL13" i="14"/>
  <c r="AM13" i="14"/>
  <c r="AO13" i="14"/>
  <c r="AF14" i="14"/>
  <c r="AG14" i="14"/>
  <c r="AK14" i="14"/>
  <c r="AI14" i="14"/>
  <c r="AL14" i="14"/>
  <c r="AM14" i="14"/>
  <c r="AO14" i="14"/>
  <c r="AF15" i="14"/>
  <c r="AG15" i="14"/>
  <c r="AK15" i="14"/>
  <c r="AI15" i="14"/>
  <c r="AL15" i="14"/>
  <c r="AM15" i="14"/>
  <c r="AO15" i="14"/>
  <c r="AO16" i="14"/>
  <c r="AO20" i="14"/>
  <c r="AN9" i="14"/>
  <c r="AN11" i="14"/>
  <c r="AN12" i="14"/>
  <c r="AN13" i="14"/>
  <c r="AN14" i="14"/>
  <c r="AN15" i="14"/>
  <c r="AN16" i="14"/>
  <c r="AN20" i="14"/>
  <c r="O9" i="14"/>
  <c r="L11" i="14"/>
  <c r="M11" i="14"/>
  <c r="O11" i="14"/>
  <c r="L12" i="14"/>
  <c r="M12" i="14"/>
  <c r="O12" i="14"/>
  <c r="L13" i="14"/>
  <c r="M13" i="14"/>
  <c r="O13" i="14"/>
  <c r="L14" i="14"/>
  <c r="M14" i="14"/>
  <c r="O14" i="14"/>
  <c r="L15" i="14"/>
  <c r="M15" i="14"/>
  <c r="O15" i="14"/>
  <c r="O16" i="14"/>
  <c r="O20" i="14"/>
  <c r="N9" i="14"/>
  <c r="N11" i="14"/>
  <c r="N12" i="14"/>
  <c r="N13" i="14"/>
  <c r="N14" i="14"/>
  <c r="N15" i="14"/>
  <c r="N16" i="14"/>
  <c r="N20" i="14"/>
  <c r="L7" i="14"/>
  <c r="M7" i="14"/>
  <c r="P7" i="14"/>
  <c r="Q7" i="14"/>
  <c r="S7" i="14"/>
  <c r="T7" i="14"/>
  <c r="U7" i="14"/>
  <c r="V7" i="14"/>
  <c r="W7" i="14"/>
  <c r="X7" i="14"/>
  <c r="Z7" i="14"/>
  <c r="AA7" i="14"/>
  <c r="AF7" i="14"/>
  <c r="AG7" i="14"/>
  <c r="AK7" i="14"/>
  <c r="AI7" i="14"/>
  <c r="AL7" i="14"/>
  <c r="AM7" i="14"/>
  <c r="AP7" i="14"/>
  <c r="AQ7" i="14"/>
  <c r="AR7" i="14"/>
  <c r="AS7" i="14"/>
  <c r="AU7" i="14"/>
  <c r="AV7" i="14"/>
  <c r="L8" i="14"/>
  <c r="M8" i="14"/>
  <c r="P8" i="14"/>
  <c r="Q8" i="14"/>
  <c r="S8" i="14"/>
  <c r="T8" i="14"/>
  <c r="U8" i="14"/>
  <c r="V8" i="14"/>
  <c r="W8" i="14"/>
  <c r="X8" i="14"/>
  <c r="Z8" i="14"/>
  <c r="AA8" i="14"/>
  <c r="AF8" i="14"/>
  <c r="AG8" i="14"/>
  <c r="AK8" i="14"/>
  <c r="AI8" i="14"/>
  <c r="AL8" i="14"/>
  <c r="AM8" i="14"/>
  <c r="AP8" i="14"/>
  <c r="AQ8" i="14"/>
  <c r="AR8" i="14"/>
  <c r="AS8" i="14"/>
  <c r="AU8" i="14"/>
  <c r="AV8" i="14"/>
  <c r="P11" i="14"/>
  <c r="Q11" i="14"/>
  <c r="S11" i="14"/>
  <c r="T11" i="14"/>
  <c r="U11" i="14"/>
  <c r="V11" i="14"/>
  <c r="W11" i="14"/>
  <c r="X11" i="14"/>
  <c r="Z11" i="14"/>
  <c r="AA11" i="14"/>
  <c r="AP11" i="14"/>
  <c r="AQ11" i="14"/>
  <c r="AR11" i="14"/>
  <c r="AS11" i="14"/>
  <c r="AU11" i="14"/>
  <c r="AV11" i="14"/>
  <c r="P12" i="14"/>
  <c r="Q12" i="14"/>
  <c r="S12" i="14"/>
  <c r="T12" i="14"/>
  <c r="U12" i="14"/>
  <c r="V12" i="14"/>
  <c r="W12" i="14"/>
  <c r="X12" i="14"/>
  <c r="Z12" i="14"/>
  <c r="AA12" i="14"/>
  <c r="AP12" i="14"/>
  <c r="AQ12" i="14"/>
  <c r="AR12" i="14"/>
  <c r="AS12" i="14"/>
  <c r="AU12" i="14"/>
  <c r="AV12" i="14"/>
  <c r="P13" i="14"/>
  <c r="Q13" i="14"/>
  <c r="S13" i="14"/>
  <c r="T13" i="14"/>
  <c r="U13" i="14"/>
  <c r="V13" i="14"/>
  <c r="W13" i="14"/>
  <c r="X13" i="14"/>
  <c r="Z13" i="14"/>
  <c r="AA13" i="14"/>
  <c r="AP13" i="14"/>
  <c r="AQ13" i="14"/>
  <c r="AR13" i="14"/>
  <c r="AS13" i="14"/>
  <c r="AU13" i="14"/>
  <c r="AV13" i="14"/>
  <c r="P14" i="14"/>
  <c r="Q14" i="14"/>
  <c r="S14" i="14"/>
  <c r="T14" i="14"/>
  <c r="U14" i="14"/>
  <c r="V14" i="14"/>
  <c r="W14" i="14"/>
  <c r="X14" i="14"/>
  <c r="Z14" i="14"/>
  <c r="AA14" i="14"/>
  <c r="AP14" i="14"/>
  <c r="AQ14" i="14"/>
  <c r="AR14" i="14"/>
  <c r="AS14" i="14"/>
  <c r="AU14" i="14"/>
  <c r="AV14" i="14"/>
  <c r="P15" i="14"/>
  <c r="Q15" i="14"/>
  <c r="S15" i="14"/>
  <c r="T15" i="14"/>
  <c r="U15" i="14"/>
  <c r="V15" i="14"/>
  <c r="W15" i="14"/>
  <c r="X15" i="14"/>
  <c r="Z15" i="14"/>
  <c r="AA15" i="14"/>
  <c r="AP15" i="14"/>
  <c r="AQ15" i="14"/>
  <c r="AR15" i="14"/>
  <c r="AS15" i="14"/>
  <c r="AU15" i="14"/>
  <c r="AV15" i="14"/>
  <c r="AV9" i="14"/>
  <c r="AV16" i="14"/>
  <c r="AV20" i="14"/>
  <c r="AU9" i="14"/>
  <c r="AU16" i="14"/>
  <c r="AU20" i="14"/>
  <c r="AT9" i="14"/>
  <c r="AT16" i="14"/>
  <c r="AT20" i="14"/>
  <c r="AS9" i="14"/>
  <c r="AS16" i="14"/>
  <c r="AS20" i="14"/>
  <c r="AR9" i="14"/>
  <c r="AR16" i="14"/>
  <c r="AR20" i="14"/>
  <c r="AQ9" i="14"/>
  <c r="AQ16" i="14"/>
  <c r="AQ20" i="14"/>
  <c r="AP9" i="14"/>
  <c r="AP16" i="14"/>
  <c r="AP20" i="14"/>
  <c r="AM9" i="14"/>
  <c r="AM16" i="14"/>
  <c r="AM20" i="14"/>
  <c r="AL9" i="14"/>
  <c r="AL16" i="14"/>
  <c r="AL20" i="14"/>
  <c r="AK9" i="14"/>
  <c r="AK16" i="14"/>
  <c r="AK20" i="14"/>
  <c r="AJ9" i="14"/>
  <c r="AJ16" i="14"/>
  <c r="AJ20" i="14"/>
  <c r="AI9" i="14"/>
  <c r="AI16" i="14"/>
  <c r="AI20" i="14"/>
  <c r="AH9" i="14"/>
  <c r="AH16" i="14"/>
  <c r="AH20" i="14"/>
  <c r="AG9" i="14"/>
  <c r="AG16" i="14"/>
  <c r="AG20" i="14"/>
  <c r="AB7" i="14"/>
  <c r="AC7" i="14"/>
  <c r="AD7" i="14"/>
  <c r="AE7" i="14"/>
  <c r="AB8" i="14"/>
  <c r="AC8" i="14"/>
  <c r="AD8" i="14"/>
  <c r="AE8" i="14"/>
  <c r="AE9" i="14"/>
  <c r="AB11" i="14"/>
  <c r="AC11" i="14"/>
  <c r="AD11" i="14"/>
  <c r="AE11" i="14"/>
  <c r="AB12" i="14"/>
  <c r="AC12" i="14"/>
  <c r="AD12" i="14"/>
  <c r="AE12" i="14"/>
  <c r="AB13" i="14"/>
  <c r="AC13" i="14"/>
  <c r="AD13" i="14"/>
  <c r="AE13" i="14"/>
  <c r="AB14" i="14"/>
  <c r="AC14" i="14"/>
  <c r="AD14" i="14"/>
  <c r="AE14" i="14"/>
  <c r="AB15" i="14"/>
  <c r="AC15" i="14"/>
  <c r="AD15" i="14"/>
  <c r="AE15" i="14"/>
  <c r="AE16" i="14"/>
  <c r="AE20" i="14"/>
  <c r="AD9" i="14"/>
  <c r="AD16" i="14"/>
  <c r="AD20" i="14"/>
  <c r="AC9" i="14"/>
  <c r="AC16" i="14"/>
  <c r="AC20" i="14"/>
  <c r="AB9" i="14"/>
  <c r="AB16" i="14"/>
  <c r="AB20" i="14"/>
  <c r="AA9" i="14"/>
  <c r="AA16" i="14"/>
  <c r="AA20" i="14"/>
  <c r="Z9" i="14"/>
  <c r="Z16" i="14"/>
  <c r="Z20" i="14"/>
  <c r="Y9" i="14"/>
  <c r="Y16" i="14"/>
  <c r="Y20" i="14"/>
  <c r="X9" i="14"/>
  <c r="X16" i="14"/>
  <c r="X20" i="14"/>
  <c r="W9" i="14"/>
  <c r="W16" i="14"/>
  <c r="W20" i="14"/>
  <c r="V9" i="14"/>
  <c r="V16" i="14"/>
  <c r="V20" i="14"/>
  <c r="U9" i="14"/>
  <c r="U16" i="14"/>
  <c r="U20" i="14"/>
  <c r="T9" i="14"/>
  <c r="T16" i="14"/>
  <c r="T20" i="14"/>
  <c r="S9" i="14"/>
  <c r="S16" i="14"/>
  <c r="S20" i="14"/>
  <c r="Q9" i="14"/>
  <c r="Q16" i="14"/>
  <c r="Q20" i="14"/>
  <c r="P9" i="14"/>
  <c r="P16" i="14"/>
  <c r="P20" i="14"/>
  <c r="M9" i="14"/>
  <c r="M16" i="14"/>
  <c r="M20" i="14"/>
  <c r="L9" i="14"/>
  <c r="L16" i="14"/>
  <c r="L20" i="14"/>
  <c r="K9" i="14"/>
  <c r="K16" i="14"/>
  <c r="K20" i="14"/>
  <c r="J9" i="14"/>
  <c r="J16" i="14"/>
  <c r="J20" i="14"/>
  <c r="I9" i="14"/>
  <c r="I20" i="14"/>
  <c r="H9" i="14"/>
  <c r="H16" i="14"/>
  <c r="H20" i="14"/>
  <c r="F9" i="14"/>
  <c r="F16" i="14"/>
  <c r="F20" i="14"/>
  <c r="D9" i="14"/>
  <c r="D16" i="14"/>
  <c r="D20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H18" i="14"/>
  <c r="F18" i="14"/>
  <c r="D18" i="14"/>
  <c r="E4" i="14"/>
  <c r="F4" i="14"/>
  <c r="G4" i="14"/>
  <c r="H4" i="14"/>
  <c r="I4" i="14"/>
  <c r="J4" i="14"/>
  <c r="K4" i="14"/>
  <c r="L4" i="14"/>
  <c r="M4" i="14"/>
  <c r="N4" i="14"/>
  <c r="O4" i="14"/>
  <c r="P4" i="14"/>
  <c r="Q4" i="14"/>
  <c r="R4" i="14"/>
  <c r="S4" i="14"/>
  <c r="T4" i="14"/>
  <c r="U4" i="14"/>
  <c r="V4" i="14"/>
  <c r="W4" i="14"/>
  <c r="X4" i="14"/>
  <c r="Y4" i="14"/>
  <c r="Z4" i="14"/>
  <c r="AA4" i="14"/>
  <c r="AB4" i="14"/>
  <c r="AC4" i="14"/>
  <c r="AD4" i="14"/>
  <c r="AE4" i="14"/>
  <c r="AF4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S4" i="14"/>
  <c r="AT4" i="14"/>
  <c r="AU4" i="14"/>
  <c r="AV4" i="14"/>
  <c r="H7" i="13"/>
  <c r="I7" i="13"/>
  <c r="K7" i="13"/>
  <c r="O7" i="13"/>
  <c r="H8" i="13"/>
  <c r="I8" i="13"/>
  <c r="K8" i="13"/>
  <c r="O8" i="13"/>
  <c r="H9" i="13"/>
  <c r="I9" i="13"/>
  <c r="K9" i="13"/>
  <c r="O9" i="13"/>
  <c r="H10" i="13"/>
  <c r="I10" i="13"/>
  <c r="K10" i="13"/>
  <c r="O10" i="13"/>
  <c r="H11" i="13"/>
  <c r="I11" i="13"/>
  <c r="K11" i="13"/>
  <c r="O11" i="13"/>
  <c r="H12" i="13"/>
  <c r="I12" i="13"/>
  <c r="K12" i="13"/>
  <c r="O12" i="13"/>
  <c r="H13" i="13"/>
  <c r="I13" i="13"/>
  <c r="K13" i="13"/>
  <c r="O13" i="13"/>
  <c r="H14" i="13"/>
  <c r="I14" i="13"/>
  <c r="K14" i="13"/>
  <c r="O14" i="13"/>
  <c r="H15" i="13"/>
  <c r="I15" i="13"/>
  <c r="K15" i="13"/>
  <c r="O15" i="13"/>
  <c r="H16" i="13"/>
  <c r="I16" i="13"/>
  <c r="K16" i="13"/>
  <c r="O16" i="13"/>
  <c r="H17" i="13"/>
  <c r="I17" i="13"/>
  <c r="K17" i="13"/>
  <c r="O17" i="13"/>
  <c r="H18" i="13"/>
  <c r="I18" i="13"/>
  <c r="K18" i="13"/>
  <c r="O18" i="13"/>
  <c r="H19" i="13"/>
  <c r="I19" i="13"/>
  <c r="K19" i="13"/>
  <c r="O19" i="13"/>
  <c r="H20" i="13"/>
  <c r="I20" i="13"/>
  <c r="K20" i="13"/>
  <c r="O20" i="13"/>
  <c r="H21" i="13"/>
  <c r="I21" i="13"/>
  <c r="K21" i="13"/>
  <c r="O21" i="13"/>
  <c r="H22" i="13"/>
  <c r="I22" i="13"/>
  <c r="K22" i="13"/>
  <c r="O22" i="13"/>
  <c r="H23" i="13"/>
  <c r="I23" i="13"/>
  <c r="K23" i="13"/>
  <c r="O23" i="13"/>
  <c r="H24" i="13"/>
  <c r="I24" i="13"/>
  <c r="K24" i="13"/>
  <c r="O24" i="13"/>
  <c r="H25" i="13"/>
  <c r="I25" i="13"/>
  <c r="K25" i="13"/>
  <c r="O25" i="13"/>
  <c r="H26" i="13"/>
  <c r="I26" i="13"/>
  <c r="K26" i="13"/>
  <c r="O26" i="13"/>
  <c r="H27" i="13"/>
  <c r="I27" i="13"/>
  <c r="K27" i="13"/>
  <c r="O27" i="13"/>
  <c r="H28" i="13"/>
  <c r="I28" i="13"/>
  <c r="K28" i="13"/>
  <c r="O28" i="13"/>
  <c r="H29" i="13"/>
  <c r="I29" i="13"/>
  <c r="K29" i="13"/>
  <c r="O29" i="13"/>
  <c r="H30" i="13"/>
  <c r="I30" i="13"/>
  <c r="K30" i="13"/>
  <c r="O30" i="13"/>
  <c r="H31" i="13"/>
  <c r="I31" i="13"/>
  <c r="K31" i="13"/>
  <c r="O31" i="13"/>
  <c r="H32" i="13"/>
  <c r="I32" i="13"/>
  <c r="K32" i="13"/>
  <c r="O32" i="13"/>
  <c r="H33" i="13"/>
  <c r="I33" i="13"/>
  <c r="K33" i="13"/>
  <c r="O33" i="13"/>
  <c r="H34" i="13"/>
  <c r="I34" i="13"/>
  <c r="K34" i="13"/>
  <c r="O34" i="13"/>
  <c r="H35" i="13"/>
  <c r="I35" i="13"/>
  <c r="K35" i="13"/>
  <c r="O35" i="13"/>
  <c r="H36" i="13"/>
  <c r="I36" i="13"/>
  <c r="K36" i="13"/>
  <c r="O36" i="13"/>
  <c r="H37" i="13"/>
  <c r="I37" i="13"/>
  <c r="K37" i="13"/>
  <c r="O37" i="13"/>
  <c r="H38" i="13"/>
  <c r="I38" i="13"/>
  <c r="K38" i="13"/>
  <c r="O38" i="13"/>
  <c r="H39" i="13"/>
  <c r="I39" i="13"/>
  <c r="K39" i="13"/>
  <c r="O39" i="13"/>
  <c r="H40" i="13"/>
  <c r="I40" i="13"/>
  <c r="K40" i="13"/>
  <c r="O40" i="13"/>
  <c r="H41" i="13"/>
  <c r="I41" i="13"/>
  <c r="K41" i="13"/>
  <c r="O41" i="13"/>
  <c r="H42" i="13"/>
  <c r="I42" i="13"/>
  <c r="K42" i="13"/>
  <c r="O42" i="13"/>
  <c r="H43" i="13"/>
  <c r="I43" i="13"/>
  <c r="K43" i="13"/>
  <c r="O43" i="13"/>
  <c r="H44" i="13"/>
  <c r="I44" i="13"/>
  <c r="K44" i="13"/>
  <c r="O44" i="13"/>
  <c r="H45" i="13"/>
  <c r="I45" i="13"/>
  <c r="K45" i="13"/>
  <c r="O45" i="13"/>
  <c r="H46" i="13"/>
  <c r="I46" i="13"/>
  <c r="K46" i="13"/>
  <c r="O46" i="13"/>
  <c r="H47" i="13"/>
  <c r="I47" i="13"/>
  <c r="K47" i="13"/>
  <c r="O47" i="13"/>
  <c r="H48" i="13"/>
  <c r="I48" i="13"/>
  <c r="K48" i="13"/>
  <c r="O48" i="13"/>
  <c r="H49" i="13"/>
  <c r="I49" i="13"/>
  <c r="K49" i="13"/>
  <c r="O49" i="13"/>
  <c r="H50" i="13"/>
  <c r="I50" i="13"/>
  <c r="K50" i="13"/>
  <c r="O50" i="13"/>
  <c r="H51" i="13"/>
  <c r="I51" i="13"/>
  <c r="K51" i="13"/>
  <c r="O51" i="13"/>
  <c r="H52" i="13"/>
  <c r="I52" i="13"/>
  <c r="K52" i="13"/>
  <c r="O52" i="13"/>
  <c r="H53" i="13"/>
  <c r="I53" i="13"/>
  <c r="K53" i="13"/>
  <c r="O53" i="13"/>
  <c r="H54" i="13"/>
  <c r="I54" i="13"/>
  <c r="K54" i="13"/>
  <c r="O54" i="13"/>
  <c r="H55" i="13"/>
  <c r="I55" i="13"/>
  <c r="K55" i="13"/>
  <c r="O55" i="13"/>
  <c r="H56" i="13"/>
  <c r="I56" i="13"/>
  <c r="K56" i="13"/>
  <c r="O56" i="13"/>
  <c r="H57" i="13"/>
  <c r="I57" i="13"/>
  <c r="K57" i="13"/>
  <c r="O57" i="13"/>
  <c r="H58" i="13"/>
  <c r="I58" i="13"/>
  <c r="K58" i="13"/>
  <c r="O58" i="13"/>
  <c r="H59" i="13"/>
  <c r="I59" i="13"/>
  <c r="K59" i="13"/>
  <c r="O59" i="13"/>
  <c r="H60" i="13"/>
  <c r="I60" i="13"/>
  <c r="K60" i="13"/>
  <c r="O60" i="13"/>
  <c r="H61" i="13"/>
  <c r="I61" i="13"/>
  <c r="K61" i="13"/>
  <c r="O61" i="13"/>
  <c r="H62" i="13"/>
  <c r="I62" i="13"/>
  <c r="K62" i="13"/>
  <c r="O62" i="13"/>
  <c r="H63" i="13"/>
  <c r="I63" i="13"/>
  <c r="K63" i="13"/>
  <c r="O63" i="13"/>
  <c r="H64" i="13"/>
  <c r="I64" i="13"/>
  <c r="K64" i="13"/>
  <c r="O64" i="13"/>
  <c r="H65" i="13"/>
  <c r="I65" i="13"/>
  <c r="K65" i="13"/>
  <c r="O65" i="13"/>
  <c r="H66" i="13"/>
  <c r="I66" i="13"/>
  <c r="K66" i="13"/>
  <c r="O66" i="13"/>
  <c r="H67" i="13"/>
  <c r="I67" i="13"/>
  <c r="K67" i="13"/>
  <c r="O67" i="13"/>
  <c r="H68" i="13"/>
  <c r="I68" i="13"/>
  <c r="K68" i="13"/>
  <c r="O68" i="13"/>
  <c r="H69" i="13"/>
  <c r="I69" i="13"/>
  <c r="K69" i="13"/>
  <c r="O69" i="13"/>
  <c r="H70" i="13"/>
  <c r="I70" i="13"/>
  <c r="K70" i="13"/>
  <c r="O70" i="13"/>
  <c r="H71" i="13"/>
  <c r="I71" i="13"/>
  <c r="K71" i="13"/>
  <c r="O71" i="13"/>
  <c r="H72" i="13"/>
  <c r="I72" i="13"/>
  <c r="K72" i="13"/>
  <c r="O72" i="13"/>
  <c r="H73" i="13"/>
  <c r="I73" i="13"/>
  <c r="K73" i="13"/>
  <c r="O73" i="13"/>
  <c r="H74" i="13"/>
  <c r="I74" i="13"/>
  <c r="K74" i="13"/>
  <c r="O74" i="13"/>
  <c r="H75" i="13"/>
  <c r="I75" i="13"/>
  <c r="K75" i="13"/>
  <c r="O75" i="13"/>
  <c r="O76" i="13"/>
  <c r="O85" i="13"/>
  <c r="M7" i="13"/>
  <c r="N7" i="13"/>
  <c r="M8" i="13"/>
  <c r="N8" i="13"/>
  <c r="M9" i="13"/>
  <c r="N9" i="13"/>
  <c r="M10" i="13"/>
  <c r="N10" i="13"/>
  <c r="M11" i="13"/>
  <c r="N11" i="13"/>
  <c r="M12" i="13"/>
  <c r="N12" i="13"/>
  <c r="M13" i="13"/>
  <c r="N13" i="13"/>
  <c r="M14" i="13"/>
  <c r="N14" i="13"/>
  <c r="M15" i="13"/>
  <c r="N15" i="13"/>
  <c r="M16" i="13"/>
  <c r="N16" i="13"/>
  <c r="M17" i="13"/>
  <c r="N17" i="13"/>
  <c r="M18" i="13"/>
  <c r="N18" i="13"/>
  <c r="M19" i="13"/>
  <c r="N19" i="13"/>
  <c r="M20" i="13"/>
  <c r="N20" i="13"/>
  <c r="M21" i="13"/>
  <c r="N21" i="13"/>
  <c r="M22" i="13"/>
  <c r="N22" i="13"/>
  <c r="M23" i="13"/>
  <c r="N23" i="13"/>
  <c r="M24" i="13"/>
  <c r="N24" i="13"/>
  <c r="M25" i="13"/>
  <c r="N25" i="13"/>
  <c r="M26" i="13"/>
  <c r="N26" i="13"/>
  <c r="M27" i="13"/>
  <c r="N27" i="13"/>
  <c r="M28" i="13"/>
  <c r="N28" i="13"/>
  <c r="M29" i="13"/>
  <c r="N29" i="13"/>
  <c r="M30" i="13"/>
  <c r="N30" i="13"/>
  <c r="M31" i="13"/>
  <c r="N31" i="13"/>
  <c r="M32" i="13"/>
  <c r="N32" i="13"/>
  <c r="M33" i="13"/>
  <c r="N33" i="13"/>
  <c r="M34" i="13"/>
  <c r="N34" i="13"/>
  <c r="M35" i="13"/>
  <c r="N35" i="13"/>
  <c r="M36" i="13"/>
  <c r="N36" i="13"/>
  <c r="M37" i="13"/>
  <c r="N37" i="13"/>
  <c r="M38" i="13"/>
  <c r="N38" i="13"/>
  <c r="M39" i="13"/>
  <c r="N39" i="13"/>
  <c r="M40" i="13"/>
  <c r="N40" i="13"/>
  <c r="M41" i="13"/>
  <c r="N41" i="13"/>
  <c r="M42" i="13"/>
  <c r="N42" i="13"/>
  <c r="M43" i="13"/>
  <c r="N43" i="13"/>
  <c r="M44" i="13"/>
  <c r="N44" i="13"/>
  <c r="M45" i="13"/>
  <c r="N45" i="13"/>
  <c r="M46" i="13"/>
  <c r="N46" i="13"/>
  <c r="M47" i="13"/>
  <c r="N47" i="13"/>
  <c r="M48" i="13"/>
  <c r="N48" i="13"/>
  <c r="M49" i="13"/>
  <c r="N49" i="13"/>
  <c r="M50" i="13"/>
  <c r="N50" i="13"/>
  <c r="M51" i="13"/>
  <c r="N51" i="13"/>
  <c r="M52" i="13"/>
  <c r="N52" i="13"/>
  <c r="M53" i="13"/>
  <c r="N53" i="13"/>
  <c r="M54" i="13"/>
  <c r="N54" i="13"/>
  <c r="M55" i="13"/>
  <c r="N55" i="13"/>
  <c r="M56" i="13"/>
  <c r="N56" i="13"/>
  <c r="M57" i="13"/>
  <c r="N57" i="13"/>
  <c r="M58" i="13"/>
  <c r="N58" i="13"/>
  <c r="M59" i="13"/>
  <c r="N59" i="13"/>
  <c r="M60" i="13"/>
  <c r="N60" i="13"/>
  <c r="M61" i="13"/>
  <c r="N61" i="13"/>
  <c r="M62" i="13"/>
  <c r="N62" i="13"/>
  <c r="M63" i="13"/>
  <c r="N63" i="13"/>
  <c r="M64" i="13"/>
  <c r="N64" i="13"/>
  <c r="M65" i="13"/>
  <c r="N65" i="13"/>
  <c r="M66" i="13"/>
  <c r="N66" i="13"/>
  <c r="M67" i="13"/>
  <c r="N67" i="13"/>
  <c r="M68" i="13"/>
  <c r="N68" i="13"/>
  <c r="M69" i="13"/>
  <c r="N69" i="13"/>
  <c r="M70" i="13"/>
  <c r="N70" i="13"/>
  <c r="M71" i="13"/>
  <c r="N71" i="13"/>
  <c r="M72" i="13"/>
  <c r="N72" i="13"/>
  <c r="M73" i="13"/>
  <c r="N73" i="13"/>
  <c r="M74" i="13"/>
  <c r="N74" i="13"/>
  <c r="M75" i="13"/>
  <c r="N75" i="13"/>
  <c r="N76" i="13"/>
  <c r="M78" i="13"/>
  <c r="N78" i="13"/>
  <c r="M82" i="13"/>
  <c r="N82" i="13"/>
  <c r="M83" i="13"/>
  <c r="N83" i="13"/>
  <c r="M84" i="13"/>
  <c r="N84" i="13"/>
  <c r="N85" i="13"/>
  <c r="M76" i="13"/>
  <c r="M85" i="13"/>
  <c r="L76" i="13"/>
  <c r="L85" i="13"/>
  <c r="K76" i="13"/>
  <c r="K85" i="13"/>
  <c r="I76" i="13"/>
  <c r="I85" i="13"/>
  <c r="H76" i="13"/>
  <c r="H85" i="13"/>
  <c r="G76" i="13"/>
  <c r="G85" i="13"/>
  <c r="F76" i="13"/>
  <c r="F85" i="13"/>
  <c r="C76" i="13"/>
  <c r="C85" i="13"/>
  <c r="D4" i="13"/>
  <c r="E4" i="13"/>
  <c r="F4" i="13"/>
  <c r="G4" i="13"/>
  <c r="H4" i="13"/>
  <c r="I4" i="13"/>
  <c r="J4" i="13"/>
  <c r="K4" i="13"/>
  <c r="L4" i="13"/>
  <c r="M4" i="13"/>
  <c r="N4" i="13"/>
  <c r="O4" i="13"/>
  <c r="H7" i="12"/>
  <c r="I7" i="12"/>
  <c r="K7" i="12"/>
  <c r="O7" i="12"/>
  <c r="H8" i="12"/>
  <c r="I8" i="12"/>
  <c r="K8" i="12"/>
  <c r="O8" i="12"/>
  <c r="H9" i="12"/>
  <c r="I9" i="12"/>
  <c r="K9" i="12"/>
  <c r="O9" i="12"/>
  <c r="H10" i="12"/>
  <c r="I10" i="12"/>
  <c r="K10" i="12"/>
  <c r="O10" i="12"/>
  <c r="H11" i="12"/>
  <c r="I11" i="12"/>
  <c r="K11" i="12"/>
  <c r="O11" i="12"/>
  <c r="H12" i="12"/>
  <c r="I12" i="12"/>
  <c r="K12" i="12"/>
  <c r="O12" i="12"/>
  <c r="H13" i="12"/>
  <c r="I13" i="12"/>
  <c r="K13" i="12"/>
  <c r="O13" i="12"/>
  <c r="H14" i="12"/>
  <c r="I14" i="12"/>
  <c r="K14" i="12"/>
  <c r="O14" i="12"/>
  <c r="H15" i="12"/>
  <c r="I15" i="12"/>
  <c r="K15" i="12"/>
  <c r="O15" i="12"/>
  <c r="H16" i="12"/>
  <c r="I16" i="12"/>
  <c r="K16" i="12"/>
  <c r="O16" i="12"/>
  <c r="H17" i="12"/>
  <c r="I17" i="12"/>
  <c r="K17" i="12"/>
  <c r="O17" i="12"/>
  <c r="H18" i="12"/>
  <c r="I18" i="12"/>
  <c r="K18" i="12"/>
  <c r="O18" i="12"/>
  <c r="H19" i="12"/>
  <c r="I19" i="12"/>
  <c r="K19" i="12"/>
  <c r="O19" i="12"/>
  <c r="H20" i="12"/>
  <c r="I20" i="12"/>
  <c r="K20" i="12"/>
  <c r="O20" i="12"/>
  <c r="H21" i="12"/>
  <c r="I21" i="12"/>
  <c r="K21" i="12"/>
  <c r="O21" i="12"/>
  <c r="H22" i="12"/>
  <c r="I22" i="12"/>
  <c r="K22" i="12"/>
  <c r="O22" i="12"/>
  <c r="H23" i="12"/>
  <c r="I23" i="12"/>
  <c r="K23" i="12"/>
  <c r="O23" i="12"/>
  <c r="H24" i="12"/>
  <c r="I24" i="12"/>
  <c r="K24" i="12"/>
  <c r="O24" i="12"/>
  <c r="H25" i="12"/>
  <c r="I25" i="12"/>
  <c r="K25" i="12"/>
  <c r="O25" i="12"/>
  <c r="H26" i="12"/>
  <c r="I26" i="12"/>
  <c r="K26" i="12"/>
  <c r="O26" i="12"/>
  <c r="H27" i="12"/>
  <c r="I27" i="12"/>
  <c r="K27" i="12"/>
  <c r="O27" i="12"/>
  <c r="H28" i="12"/>
  <c r="I28" i="12"/>
  <c r="K28" i="12"/>
  <c r="O28" i="12"/>
  <c r="H29" i="12"/>
  <c r="I29" i="12"/>
  <c r="K29" i="12"/>
  <c r="O29" i="12"/>
  <c r="H30" i="12"/>
  <c r="I30" i="12"/>
  <c r="K30" i="12"/>
  <c r="O30" i="12"/>
  <c r="H31" i="12"/>
  <c r="I31" i="12"/>
  <c r="K31" i="12"/>
  <c r="O31" i="12"/>
  <c r="H32" i="12"/>
  <c r="I32" i="12"/>
  <c r="K32" i="12"/>
  <c r="O32" i="12"/>
  <c r="H33" i="12"/>
  <c r="I33" i="12"/>
  <c r="K33" i="12"/>
  <c r="O33" i="12"/>
  <c r="H34" i="12"/>
  <c r="I34" i="12"/>
  <c r="K34" i="12"/>
  <c r="O34" i="12"/>
  <c r="H35" i="12"/>
  <c r="I35" i="12"/>
  <c r="K35" i="12"/>
  <c r="O35" i="12"/>
  <c r="H36" i="12"/>
  <c r="I36" i="12"/>
  <c r="K36" i="12"/>
  <c r="O36" i="12"/>
  <c r="H37" i="12"/>
  <c r="I37" i="12"/>
  <c r="K37" i="12"/>
  <c r="O37" i="12"/>
  <c r="H38" i="12"/>
  <c r="I38" i="12"/>
  <c r="K38" i="12"/>
  <c r="O38" i="12"/>
  <c r="H39" i="12"/>
  <c r="I39" i="12"/>
  <c r="K39" i="12"/>
  <c r="O39" i="12"/>
  <c r="H40" i="12"/>
  <c r="I40" i="12"/>
  <c r="K40" i="12"/>
  <c r="O40" i="12"/>
  <c r="H41" i="12"/>
  <c r="I41" i="12"/>
  <c r="K41" i="12"/>
  <c r="O41" i="12"/>
  <c r="H42" i="12"/>
  <c r="I42" i="12"/>
  <c r="K42" i="12"/>
  <c r="O42" i="12"/>
  <c r="H43" i="12"/>
  <c r="I43" i="12"/>
  <c r="K43" i="12"/>
  <c r="O43" i="12"/>
  <c r="H44" i="12"/>
  <c r="I44" i="12"/>
  <c r="K44" i="12"/>
  <c r="O44" i="12"/>
  <c r="H45" i="12"/>
  <c r="I45" i="12"/>
  <c r="K45" i="12"/>
  <c r="O45" i="12"/>
  <c r="H46" i="12"/>
  <c r="I46" i="12"/>
  <c r="K46" i="12"/>
  <c r="O46" i="12"/>
  <c r="H47" i="12"/>
  <c r="I47" i="12"/>
  <c r="K47" i="12"/>
  <c r="O47" i="12"/>
  <c r="H48" i="12"/>
  <c r="I48" i="12"/>
  <c r="K48" i="12"/>
  <c r="O48" i="12"/>
  <c r="H49" i="12"/>
  <c r="I49" i="12"/>
  <c r="K49" i="12"/>
  <c r="O49" i="12"/>
  <c r="H50" i="12"/>
  <c r="I50" i="12"/>
  <c r="K50" i="12"/>
  <c r="O50" i="12"/>
  <c r="H51" i="12"/>
  <c r="I51" i="12"/>
  <c r="K51" i="12"/>
  <c r="O51" i="12"/>
  <c r="H52" i="12"/>
  <c r="I52" i="12"/>
  <c r="K52" i="12"/>
  <c r="O52" i="12"/>
  <c r="H53" i="12"/>
  <c r="I53" i="12"/>
  <c r="K53" i="12"/>
  <c r="O53" i="12"/>
  <c r="H54" i="12"/>
  <c r="I54" i="12"/>
  <c r="K54" i="12"/>
  <c r="O54" i="12"/>
  <c r="H55" i="12"/>
  <c r="I55" i="12"/>
  <c r="K55" i="12"/>
  <c r="O55" i="12"/>
  <c r="H56" i="12"/>
  <c r="I56" i="12"/>
  <c r="K56" i="12"/>
  <c r="O56" i="12"/>
  <c r="H57" i="12"/>
  <c r="I57" i="12"/>
  <c r="K57" i="12"/>
  <c r="O57" i="12"/>
  <c r="H58" i="12"/>
  <c r="I58" i="12"/>
  <c r="K58" i="12"/>
  <c r="O58" i="12"/>
  <c r="H59" i="12"/>
  <c r="I59" i="12"/>
  <c r="K59" i="12"/>
  <c r="O59" i="12"/>
  <c r="H60" i="12"/>
  <c r="I60" i="12"/>
  <c r="K60" i="12"/>
  <c r="O60" i="12"/>
  <c r="H61" i="12"/>
  <c r="I61" i="12"/>
  <c r="K61" i="12"/>
  <c r="O61" i="12"/>
  <c r="H62" i="12"/>
  <c r="I62" i="12"/>
  <c r="K62" i="12"/>
  <c r="O62" i="12"/>
  <c r="H63" i="12"/>
  <c r="I63" i="12"/>
  <c r="K63" i="12"/>
  <c r="O63" i="12"/>
  <c r="H64" i="12"/>
  <c r="I64" i="12"/>
  <c r="K64" i="12"/>
  <c r="O64" i="12"/>
  <c r="H65" i="12"/>
  <c r="I65" i="12"/>
  <c r="K65" i="12"/>
  <c r="O65" i="12"/>
  <c r="H66" i="12"/>
  <c r="I66" i="12"/>
  <c r="K66" i="12"/>
  <c r="O66" i="12"/>
  <c r="H67" i="12"/>
  <c r="I67" i="12"/>
  <c r="K67" i="12"/>
  <c r="O67" i="12"/>
  <c r="H68" i="12"/>
  <c r="I68" i="12"/>
  <c r="K68" i="12"/>
  <c r="O68" i="12"/>
  <c r="H69" i="12"/>
  <c r="I69" i="12"/>
  <c r="K69" i="12"/>
  <c r="O69" i="12"/>
  <c r="H70" i="12"/>
  <c r="I70" i="12"/>
  <c r="K70" i="12"/>
  <c r="O70" i="12"/>
  <c r="H71" i="12"/>
  <c r="I71" i="12"/>
  <c r="K71" i="12"/>
  <c r="O71" i="12"/>
  <c r="H72" i="12"/>
  <c r="I72" i="12"/>
  <c r="K72" i="12"/>
  <c r="O72" i="12"/>
  <c r="H73" i="12"/>
  <c r="I73" i="12"/>
  <c r="K73" i="12"/>
  <c r="O73" i="12"/>
  <c r="H74" i="12"/>
  <c r="I74" i="12"/>
  <c r="K74" i="12"/>
  <c r="O74" i="12"/>
  <c r="H75" i="12"/>
  <c r="I75" i="12"/>
  <c r="K75" i="12"/>
  <c r="O75" i="12"/>
  <c r="O76" i="12"/>
  <c r="O85" i="12"/>
  <c r="M7" i="12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2" i="12"/>
  <c r="N52" i="12"/>
  <c r="M53" i="12"/>
  <c r="N53" i="12"/>
  <c r="M54" i="12"/>
  <c r="N54" i="12"/>
  <c r="M55" i="12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62" i="12"/>
  <c r="N62" i="12"/>
  <c r="M63" i="12"/>
  <c r="N63" i="12"/>
  <c r="M64" i="12"/>
  <c r="N64" i="12"/>
  <c r="M65" i="12"/>
  <c r="N65" i="12"/>
  <c r="M66" i="12"/>
  <c r="N66" i="12"/>
  <c r="M67" i="12"/>
  <c r="N67" i="12"/>
  <c r="M68" i="12"/>
  <c r="N68" i="12"/>
  <c r="M69" i="12"/>
  <c r="N69" i="12"/>
  <c r="M70" i="12"/>
  <c r="N70" i="12"/>
  <c r="M71" i="12"/>
  <c r="N71" i="12"/>
  <c r="M72" i="12"/>
  <c r="N72" i="12"/>
  <c r="M73" i="12"/>
  <c r="N73" i="12"/>
  <c r="M74" i="12"/>
  <c r="N74" i="12"/>
  <c r="M75" i="12"/>
  <c r="N75" i="12"/>
  <c r="N76" i="12"/>
  <c r="M78" i="12"/>
  <c r="N78" i="12"/>
  <c r="M82" i="12"/>
  <c r="N82" i="12"/>
  <c r="M83" i="12"/>
  <c r="N83" i="12"/>
  <c r="M84" i="12"/>
  <c r="N84" i="12"/>
  <c r="N85" i="12"/>
  <c r="M76" i="12"/>
  <c r="M85" i="12"/>
  <c r="L76" i="12"/>
  <c r="L85" i="12"/>
  <c r="K76" i="12"/>
  <c r="K85" i="12"/>
  <c r="I76" i="12"/>
  <c r="I85" i="12"/>
  <c r="H76" i="12"/>
  <c r="H85" i="12"/>
  <c r="G76" i="12"/>
  <c r="G85" i="12"/>
  <c r="F76" i="12"/>
  <c r="F85" i="12"/>
  <c r="C76" i="12"/>
  <c r="C85" i="12"/>
  <c r="D4" i="12"/>
  <c r="E4" i="12"/>
  <c r="F4" i="12"/>
  <c r="G4" i="12"/>
  <c r="H4" i="12"/>
  <c r="I4" i="12"/>
  <c r="J4" i="12"/>
  <c r="K4" i="12"/>
  <c r="L4" i="12"/>
  <c r="M4" i="12"/>
  <c r="N4" i="12"/>
  <c r="O4" i="12"/>
  <c r="H7" i="11"/>
  <c r="I7" i="11"/>
  <c r="K7" i="11"/>
  <c r="O7" i="11"/>
  <c r="H8" i="11"/>
  <c r="I8" i="11"/>
  <c r="K8" i="11"/>
  <c r="O8" i="11"/>
  <c r="H9" i="11"/>
  <c r="I9" i="11"/>
  <c r="K9" i="11"/>
  <c r="O9" i="11"/>
  <c r="H10" i="11"/>
  <c r="I10" i="11"/>
  <c r="K10" i="11"/>
  <c r="O10" i="11"/>
  <c r="H11" i="11"/>
  <c r="I11" i="11"/>
  <c r="K11" i="11"/>
  <c r="O11" i="11"/>
  <c r="H12" i="11"/>
  <c r="I12" i="11"/>
  <c r="K12" i="11"/>
  <c r="O12" i="11"/>
  <c r="H13" i="11"/>
  <c r="I13" i="11"/>
  <c r="K13" i="11"/>
  <c r="O13" i="11"/>
  <c r="H14" i="11"/>
  <c r="I14" i="11"/>
  <c r="K14" i="11"/>
  <c r="O14" i="11"/>
  <c r="H15" i="11"/>
  <c r="I15" i="11"/>
  <c r="K15" i="11"/>
  <c r="O15" i="11"/>
  <c r="H16" i="11"/>
  <c r="I16" i="11"/>
  <c r="K16" i="11"/>
  <c r="O16" i="11"/>
  <c r="H17" i="11"/>
  <c r="I17" i="11"/>
  <c r="K17" i="11"/>
  <c r="O17" i="11"/>
  <c r="H18" i="11"/>
  <c r="I18" i="11"/>
  <c r="K18" i="11"/>
  <c r="O18" i="11"/>
  <c r="H19" i="11"/>
  <c r="I19" i="11"/>
  <c r="K19" i="11"/>
  <c r="O19" i="11"/>
  <c r="H20" i="11"/>
  <c r="I20" i="11"/>
  <c r="K20" i="11"/>
  <c r="O20" i="11"/>
  <c r="H21" i="11"/>
  <c r="I21" i="11"/>
  <c r="K21" i="11"/>
  <c r="O21" i="11"/>
  <c r="H22" i="11"/>
  <c r="I22" i="11"/>
  <c r="K22" i="11"/>
  <c r="O22" i="11"/>
  <c r="H23" i="11"/>
  <c r="I23" i="11"/>
  <c r="K23" i="11"/>
  <c r="O23" i="11"/>
  <c r="H24" i="11"/>
  <c r="I24" i="11"/>
  <c r="K24" i="11"/>
  <c r="O24" i="11"/>
  <c r="H25" i="11"/>
  <c r="I25" i="11"/>
  <c r="K25" i="11"/>
  <c r="O25" i="11"/>
  <c r="H26" i="11"/>
  <c r="I26" i="11"/>
  <c r="K26" i="11"/>
  <c r="O26" i="11"/>
  <c r="H27" i="11"/>
  <c r="I27" i="11"/>
  <c r="K27" i="11"/>
  <c r="O27" i="11"/>
  <c r="H28" i="11"/>
  <c r="I28" i="11"/>
  <c r="K28" i="11"/>
  <c r="O28" i="11"/>
  <c r="H29" i="11"/>
  <c r="I29" i="11"/>
  <c r="K29" i="11"/>
  <c r="O29" i="11"/>
  <c r="H30" i="11"/>
  <c r="I30" i="11"/>
  <c r="K30" i="11"/>
  <c r="O30" i="11"/>
  <c r="H31" i="11"/>
  <c r="I31" i="11"/>
  <c r="K31" i="11"/>
  <c r="O31" i="11"/>
  <c r="H32" i="11"/>
  <c r="I32" i="11"/>
  <c r="K32" i="11"/>
  <c r="O32" i="11"/>
  <c r="H33" i="11"/>
  <c r="I33" i="11"/>
  <c r="K33" i="11"/>
  <c r="O33" i="11"/>
  <c r="H34" i="11"/>
  <c r="I34" i="11"/>
  <c r="K34" i="11"/>
  <c r="O34" i="11"/>
  <c r="H35" i="11"/>
  <c r="I35" i="11"/>
  <c r="K35" i="11"/>
  <c r="O35" i="11"/>
  <c r="H36" i="11"/>
  <c r="I36" i="11"/>
  <c r="K36" i="11"/>
  <c r="O36" i="11"/>
  <c r="H37" i="11"/>
  <c r="I37" i="11"/>
  <c r="K37" i="11"/>
  <c r="O37" i="11"/>
  <c r="H38" i="11"/>
  <c r="I38" i="11"/>
  <c r="K38" i="11"/>
  <c r="O38" i="11"/>
  <c r="H39" i="11"/>
  <c r="I39" i="11"/>
  <c r="K39" i="11"/>
  <c r="O39" i="11"/>
  <c r="H40" i="11"/>
  <c r="I40" i="11"/>
  <c r="K40" i="11"/>
  <c r="O40" i="11"/>
  <c r="H41" i="11"/>
  <c r="I41" i="11"/>
  <c r="K41" i="11"/>
  <c r="O41" i="11"/>
  <c r="H42" i="11"/>
  <c r="I42" i="11"/>
  <c r="K42" i="11"/>
  <c r="O42" i="11"/>
  <c r="H43" i="11"/>
  <c r="I43" i="11"/>
  <c r="K43" i="11"/>
  <c r="O43" i="11"/>
  <c r="H44" i="11"/>
  <c r="I44" i="11"/>
  <c r="K44" i="11"/>
  <c r="O44" i="11"/>
  <c r="H45" i="11"/>
  <c r="I45" i="11"/>
  <c r="K45" i="11"/>
  <c r="O45" i="11"/>
  <c r="H46" i="11"/>
  <c r="I46" i="11"/>
  <c r="K46" i="11"/>
  <c r="O46" i="11"/>
  <c r="H47" i="11"/>
  <c r="I47" i="11"/>
  <c r="K47" i="11"/>
  <c r="O47" i="11"/>
  <c r="H48" i="11"/>
  <c r="I48" i="11"/>
  <c r="K48" i="11"/>
  <c r="O48" i="11"/>
  <c r="H49" i="11"/>
  <c r="I49" i="11"/>
  <c r="K49" i="11"/>
  <c r="O49" i="11"/>
  <c r="H50" i="11"/>
  <c r="I50" i="11"/>
  <c r="K50" i="11"/>
  <c r="O50" i="11"/>
  <c r="H51" i="11"/>
  <c r="I51" i="11"/>
  <c r="K51" i="11"/>
  <c r="O51" i="11"/>
  <c r="H52" i="11"/>
  <c r="I52" i="11"/>
  <c r="K52" i="11"/>
  <c r="O52" i="11"/>
  <c r="H53" i="11"/>
  <c r="I53" i="11"/>
  <c r="K53" i="11"/>
  <c r="O53" i="11"/>
  <c r="H54" i="11"/>
  <c r="I54" i="11"/>
  <c r="K54" i="11"/>
  <c r="O54" i="11"/>
  <c r="H55" i="11"/>
  <c r="I55" i="11"/>
  <c r="K55" i="11"/>
  <c r="O55" i="11"/>
  <c r="H56" i="11"/>
  <c r="I56" i="11"/>
  <c r="K56" i="11"/>
  <c r="O56" i="11"/>
  <c r="H57" i="11"/>
  <c r="I57" i="11"/>
  <c r="K57" i="11"/>
  <c r="O57" i="11"/>
  <c r="H58" i="11"/>
  <c r="I58" i="11"/>
  <c r="K58" i="11"/>
  <c r="O58" i="11"/>
  <c r="H59" i="11"/>
  <c r="I59" i="11"/>
  <c r="K59" i="11"/>
  <c r="O59" i="11"/>
  <c r="H60" i="11"/>
  <c r="I60" i="11"/>
  <c r="K60" i="11"/>
  <c r="O60" i="11"/>
  <c r="H61" i="11"/>
  <c r="I61" i="11"/>
  <c r="K61" i="11"/>
  <c r="O61" i="11"/>
  <c r="H62" i="11"/>
  <c r="I62" i="11"/>
  <c r="K62" i="11"/>
  <c r="O62" i="11"/>
  <c r="H63" i="11"/>
  <c r="I63" i="11"/>
  <c r="K63" i="11"/>
  <c r="O63" i="11"/>
  <c r="H64" i="11"/>
  <c r="I64" i="11"/>
  <c r="K64" i="11"/>
  <c r="O64" i="11"/>
  <c r="H65" i="11"/>
  <c r="I65" i="11"/>
  <c r="K65" i="11"/>
  <c r="O65" i="11"/>
  <c r="H66" i="11"/>
  <c r="I66" i="11"/>
  <c r="K66" i="11"/>
  <c r="O66" i="11"/>
  <c r="H67" i="11"/>
  <c r="I67" i="11"/>
  <c r="K67" i="11"/>
  <c r="O67" i="11"/>
  <c r="H68" i="11"/>
  <c r="I68" i="11"/>
  <c r="K68" i="11"/>
  <c r="O68" i="11"/>
  <c r="H69" i="11"/>
  <c r="I69" i="11"/>
  <c r="K69" i="11"/>
  <c r="O69" i="11"/>
  <c r="H70" i="11"/>
  <c r="I70" i="11"/>
  <c r="K70" i="11"/>
  <c r="O70" i="11"/>
  <c r="H71" i="11"/>
  <c r="I71" i="11"/>
  <c r="K71" i="11"/>
  <c r="O71" i="11"/>
  <c r="H72" i="11"/>
  <c r="I72" i="11"/>
  <c r="K72" i="11"/>
  <c r="O72" i="11"/>
  <c r="H73" i="11"/>
  <c r="I73" i="11"/>
  <c r="K73" i="11"/>
  <c r="O73" i="11"/>
  <c r="H74" i="11"/>
  <c r="I74" i="11"/>
  <c r="K74" i="11"/>
  <c r="O74" i="11"/>
  <c r="H75" i="11"/>
  <c r="I75" i="11"/>
  <c r="K75" i="11"/>
  <c r="O75" i="11"/>
  <c r="O76" i="11"/>
  <c r="O85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M19" i="11"/>
  <c r="N19" i="11"/>
  <c r="M20" i="11"/>
  <c r="N20" i="11"/>
  <c r="M21" i="11"/>
  <c r="N21" i="1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N41" i="11"/>
  <c r="M42" i="11"/>
  <c r="N42" i="11"/>
  <c r="M43" i="11"/>
  <c r="N43" i="11"/>
  <c r="M44" i="11"/>
  <c r="N44" i="11"/>
  <c r="M45" i="11"/>
  <c r="N45" i="11"/>
  <c r="M46" i="11"/>
  <c r="N46" i="11"/>
  <c r="M47" i="11"/>
  <c r="N47" i="11"/>
  <c r="M48" i="11"/>
  <c r="N48" i="11"/>
  <c r="M49" i="11"/>
  <c r="N49" i="11"/>
  <c r="M50" i="11"/>
  <c r="N50" i="11"/>
  <c r="M51" i="11"/>
  <c r="N51" i="11"/>
  <c r="M52" i="11"/>
  <c r="N52" i="11"/>
  <c r="M53" i="11"/>
  <c r="N53" i="11"/>
  <c r="M54" i="11"/>
  <c r="N54" i="11"/>
  <c r="M55" i="11"/>
  <c r="N55" i="11"/>
  <c r="M56" i="11"/>
  <c r="N56" i="11"/>
  <c r="M57" i="11"/>
  <c r="N57" i="11"/>
  <c r="M58" i="11"/>
  <c r="N58" i="11"/>
  <c r="M59" i="11"/>
  <c r="N59" i="11"/>
  <c r="M60" i="11"/>
  <c r="N60" i="11"/>
  <c r="M61" i="11"/>
  <c r="N61" i="11"/>
  <c r="M62" i="11"/>
  <c r="N62" i="11"/>
  <c r="M63" i="11"/>
  <c r="N63" i="11"/>
  <c r="M64" i="11"/>
  <c r="N64" i="11"/>
  <c r="M65" i="11"/>
  <c r="N65" i="11"/>
  <c r="M66" i="11"/>
  <c r="N66" i="11"/>
  <c r="M67" i="11"/>
  <c r="N67" i="11"/>
  <c r="M68" i="11"/>
  <c r="N68" i="11"/>
  <c r="M69" i="11"/>
  <c r="N69" i="11"/>
  <c r="M70" i="11"/>
  <c r="N70" i="11"/>
  <c r="M71" i="11"/>
  <c r="N71" i="11"/>
  <c r="M72" i="11"/>
  <c r="N72" i="11"/>
  <c r="M73" i="11"/>
  <c r="N73" i="11"/>
  <c r="M74" i="11"/>
  <c r="N74" i="11"/>
  <c r="M75" i="11"/>
  <c r="N75" i="11"/>
  <c r="N76" i="11"/>
  <c r="M78" i="11"/>
  <c r="N78" i="11"/>
  <c r="M82" i="11"/>
  <c r="N82" i="11"/>
  <c r="M83" i="11"/>
  <c r="N83" i="11"/>
  <c r="M84" i="11"/>
  <c r="N84" i="11"/>
  <c r="N85" i="11"/>
  <c r="M76" i="11"/>
  <c r="M85" i="11"/>
  <c r="L76" i="11"/>
  <c r="L85" i="11"/>
  <c r="K76" i="11"/>
  <c r="K85" i="11"/>
  <c r="I76" i="11"/>
  <c r="I85" i="11"/>
  <c r="H76" i="11"/>
  <c r="H85" i="11"/>
  <c r="G76" i="11"/>
  <c r="G85" i="11"/>
  <c r="F76" i="11"/>
  <c r="F85" i="11"/>
  <c r="C76" i="11"/>
  <c r="C85" i="11"/>
  <c r="D4" i="11"/>
  <c r="E4" i="11"/>
  <c r="F4" i="11"/>
  <c r="G4" i="11"/>
  <c r="H4" i="11"/>
  <c r="I4" i="11"/>
  <c r="J4" i="11"/>
  <c r="K4" i="11"/>
  <c r="L4" i="11"/>
  <c r="M4" i="11"/>
  <c r="N4" i="11"/>
  <c r="O4" i="11"/>
  <c r="S87" i="10"/>
  <c r="I7" i="10"/>
  <c r="J7" i="10"/>
  <c r="L7" i="10"/>
  <c r="M7" i="10"/>
  <c r="N7" i="10"/>
  <c r="O7" i="10"/>
  <c r="P7" i="10"/>
  <c r="R7" i="10"/>
  <c r="S7" i="10"/>
  <c r="I8" i="10"/>
  <c r="J8" i="10"/>
  <c r="L8" i="10"/>
  <c r="M8" i="10"/>
  <c r="N8" i="10"/>
  <c r="O8" i="10"/>
  <c r="P8" i="10"/>
  <c r="R8" i="10"/>
  <c r="S8" i="10"/>
  <c r="I9" i="10"/>
  <c r="J9" i="10"/>
  <c r="L9" i="10"/>
  <c r="M9" i="10"/>
  <c r="N9" i="10"/>
  <c r="O9" i="10"/>
  <c r="P9" i="10"/>
  <c r="R9" i="10"/>
  <c r="S9" i="10"/>
  <c r="I10" i="10"/>
  <c r="J10" i="10"/>
  <c r="L10" i="10"/>
  <c r="M10" i="10"/>
  <c r="N10" i="10"/>
  <c r="O10" i="10"/>
  <c r="P10" i="10"/>
  <c r="R10" i="10"/>
  <c r="S10" i="10"/>
  <c r="I11" i="10"/>
  <c r="J11" i="10"/>
  <c r="L11" i="10"/>
  <c r="M11" i="10"/>
  <c r="N11" i="10"/>
  <c r="O11" i="10"/>
  <c r="P11" i="10"/>
  <c r="R11" i="10"/>
  <c r="S11" i="10"/>
  <c r="I12" i="10"/>
  <c r="J12" i="10"/>
  <c r="L12" i="10"/>
  <c r="M12" i="10"/>
  <c r="N12" i="10"/>
  <c r="O12" i="10"/>
  <c r="P12" i="10"/>
  <c r="R12" i="10"/>
  <c r="S12" i="10"/>
  <c r="I13" i="10"/>
  <c r="J13" i="10"/>
  <c r="L13" i="10"/>
  <c r="M13" i="10"/>
  <c r="N13" i="10"/>
  <c r="O13" i="10"/>
  <c r="P13" i="10"/>
  <c r="R13" i="10"/>
  <c r="S13" i="10"/>
  <c r="I14" i="10"/>
  <c r="J14" i="10"/>
  <c r="L14" i="10"/>
  <c r="M14" i="10"/>
  <c r="N14" i="10"/>
  <c r="O14" i="10"/>
  <c r="P14" i="10"/>
  <c r="R14" i="10"/>
  <c r="S14" i="10"/>
  <c r="I15" i="10"/>
  <c r="J15" i="10"/>
  <c r="L15" i="10"/>
  <c r="M15" i="10"/>
  <c r="N15" i="10"/>
  <c r="O15" i="10"/>
  <c r="P15" i="10"/>
  <c r="R15" i="10"/>
  <c r="S15" i="10"/>
  <c r="I16" i="10"/>
  <c r="J16" i="10"/>
  <c r="L16" i="10"/>
  <c r="M16" i="10"/>
  <c r="N16" i="10"/>
  <c r="O16" i="10"/>
  <c r="P16" i="10"/>
  <c r="R16" i="10"/>
  <c r="S16" i="10"/>
  <c r="I17" i="10"/>
  <c r="J17" i="10"/>
  <c r="L17" i="10"/>
  <c r="M17" i="10"/>
  <c r="N17" i="10"/>
  <c r="O17" i="10"/>
  <c r="P17" i="10"/>
  <c r="R17" i="10"/>
  <c r="S17" i="10"/>
  <c r="I18" i="10"/>
  <c r="J18" i="10"/>
  <c r="L18" i="10"/>
  <c r="M18" i="10"/>
  <c r="N18" i="10"/>
  <c r="O18" i="10"/>
  <c r="P18" i="10"/>
  <c r="R18" i="10"/>
  <c r="S18" i="10"/>
  <c r="I19" i="10"/>
  <c r="J19" i="10"/>
  <c r="L19" i="10"/>
  <c r="M19" i="10"/>
  <c r="N19" i="10"/>
  <c r="O19" i="10"/>
  <c r="P19" i="10"/>
  <c r="R19" i="10"/>
  <c r="S19" i="10"/>
  <c r="I20" i="10"/>
  <c r="J20" i="10"/>
  <c r="L20" i="10"/>
  <c r="M20" i="10"/>
  <c r="N20" i="10"/>
  <c r="O20" i="10"/>
  <c r="P20" i="10"/>
  <c r="R20" i="10"/>
  <c r="S20" i="10"/>
  <c r="I21" i="10"/>
  <c r="J21" i="10"/>
  <c r="L21" i="10"/>
  <c r="M21" i="10"/>
  <c r="N21" i="10"/>
  <c r="O21" i="10"/>
  <c r="P21" i="10"/>
  <c r="R21" i="10"/>
  <c r="S21" i="10"/>
  <c r="I22" i="10"/>
  <c r="J22" i="10"/>
  <c r="L22" i="10"/>
  <c r="M22" i="10"/>
  <c r="N22" i="10"/>
  <c r="O22" i="10"/>
  <c r="P22" i="10"/>
  <c r="R22" i="10"/>
  <c r="S22" i="10"/>
  <c r="I23" i="10"/>
  <c r="J23" i="10"/>
  <c r="L23" i="10"/>
  <c r="M23" i="10"/>
  <c r="N23" i="10"/>
  <c r="O23" i="10"/>
  <c r="P23" i="10"/>
  <c r="R23" i="10"/>
  <c r="S23" i="10"/>
  <c r="I24" i="10"/>
  <c r="J24" i="10"/>
  <c r="L24" i="10"/>
  <c r="M24" i="10"/>
  <c r="N24" i="10"/>
  <c r="O24" i="10"/>
  <c r="P24" i="10"/>
  <c r="R24" i="10"/>
  <c r="S24" i="10"/>
  <c r="I25" i="10"/>
  <c r="J25" i="10"/>
  <c r="L25" i="10"/>
  <c r="M25" i="10"/>
  <c r="N25" i="10"/>
  <c r="O25" i="10"/>
  <c r="P25" i="10"/>
  <c r="R25" i="10"/>
  <c r="S25" i="10"/>
  <c r="I26" i="10"/>
  <c r="J26" i="10"/>
  <c r="L26" i="10"/>
  <c r="M26" i="10"/>
  <c r="N26" i="10"/>
  <c r="O26" i="10"/>
  <c r="P26" i="10"/>
  <c r="R26" i="10"/>
  <c r="S26" i="10"/>
  <c r="I27" i="10"/>
  <c r="J27" i="10"/>
  <c r="L27" i="10"/>
  <c r="M27" i="10"/>
  <c r="N27" i="10"/>
  <c r="O27" i="10"/>
  <c r="P27" i="10"/>
  <c r="R27" i="10"/>
  <c r="S27" i="10"/>
  <c r="I28" i="10"/>
  <c r="J28" i="10"/>
  <c r="L28" i="10"/>
  <c r="M28" i="10"/>
  <c r="N28" i="10"/>
  <c r="O28" i="10"/>
  <c r="P28" i="10"/>
  <c r="R28" i="10"/>
  <c r="S28" i="10"/>
  <c r="I29" i="10"/>
  <c r="J29" i="10"/>
  <c r="L29" i="10"/>
  <c r="M29" i="10"/>
  <c r="N29" i="10"/>
  <c r="O29" i="10"/>
  <c r="P29" i="10"/>
  <c r="R29" i="10"/>
  <c r="S29" i="10"/>
  <c r="I30" i="10"/>
  <c r="J30" i="10"/>
  <c r="L30" i="10"/>
  <c r="M30" i="10"/>
  <c r="N30" i="10"/>
  <c r="O30" i="10"/>
  <c r="P30" i="10"/>
  <c r="R30" i="10"/>
  <c r="S30" i="10"/>
  <c r="I31" i="10"/>
  <c r="J31" i="10"/>
  <c r="L31" i="10"/>
  <c r="M31" i="10"/>
  <c r="N31" i="10"/>
  <c r="O31" i="10"/>
  <c r="P31" i="10"/>
  <c r="R31" i="10"/>
  <c r="S31" i="10"/>
  <c r="I32" i="10"/>
  <c r="J32" i="10"/>
  <c r="L32" i="10"/>
  <c r="M32" i="10"/>
  <c r="N32" i="10"/>
  <c r="O32" i="10"/>
  <c r="P32" i="10"/>
  <c r="R32" i="10"/>
  <c r="S32" i="10"/>
  <c r="I33" i="10"/>
  <c r="J33" i="10"/>
  <c r="L33" i="10"/>
  <c r="M33" i="10"/>
  <c r="N33" i="10"/>
  <c r="O33" i="10"/>
  <c r="P33" i="10"/>
  <c r="R33" i="10"/>
  <c r="S33" i="10"/>
  <c r="I34" i="10"/>
  <c r="J34" i="10"/>
  <c r="L34" i="10"/>
  <c r="M34" i="10"/>
  <c r="N34" i="10"/>
  <c r="O34" i="10"/>
  <c r="P34" i="10"/>
  <c r="R34" i="10"/>
  <c r="S34" i="10"/>
  <c r="I35" i="10"/>
  <c r="J35" i="10"/>
  <c r="L35" i="10"/>
  <c r="M35" i="10"/>
  <c r="N35" i="10"/>
  <c r="O35" i="10"/>
  <c r="P35" i="10"/>
  <c r="R35" i="10"/>
  <c r="S35" i="10"/>
  <c r="I36" i="10"/>
  <c r="J36" i="10"/>
  <c r="L36" i="10"/>
  <c r="M36" i="10"/>
  <c r="N36" i="10"/>
  <c r="O36" i="10"/>
  <c r="P36" i="10"/>
  <c r="R36" i="10"/>
  <c r="S36" i="10"/>
  <c r="I37" i="10"/>
  <c r="J37" i="10"/>
  <c r="L37" i="10"/>
  <c r="M37" i="10"/>
  <c r="N37" i="10"/>
  <c r="O37" i="10"/>
  <c r="P37" i="10"/>
  <c r="R37" i="10"/>
  <c r="S37" i="10"/>
  <c r="I38" i="10"/>
  <c r="J38" i="10"/>
  <c r="L38" i="10"/>
  <c r="M38" i="10"/>
  <c r="N38" i="10"/>
  <c r="O38" i="10"/>
  <c r="P38" i="10"/>
  <c r="R38" i="10"/>
  <c r="S38" i="10"/>
  <c r="I39" i="10"/>
  <c r="J39" i="10"/>
  <c r="L39" i="10"/>
  <c r="M39" i="10"/>
  <c r="N39" i="10"/>
  <c r="O39" i="10"/>
  <c r="P39" i="10"/>
  <c r="R39" i="10"/>
  <c r="S39" i="10"/>
  <c r="I40" i="10"/>
  <c r="J40" i="10"/>
  <c r="L40" i="10"/>
  <c r="M40" i="10"/>
  <c r="N40" i="10"/>
  <c r="O40" i="10"/>
  <c r="P40" i="10"/>
  <c r="R40" i="10"/>
  <c r="S40" i="10"/>
  <c r="I41" i="10"/>
  <c r="J41" i="10"/>
  <c r="L41" i="10"/>
  <c r="M41" i="10"/>
  <c r="N41" i="10"/>
  <c r="O41" i="10"/>
  <c r="P41" i="10"/>
  <c r="R41" i="10"/>
  <c r="S41" i="10"/>
  <c r="I42" i="10"/>
  <c r="J42" i="10"/>
  <c r="L42" i="10"/>
  <c r="M42" i="10"/>
  <c r="N42" i="10"/>
  <c r="O42" i="10"/>
  <c r="P42" i="10"/>
  <c r="R42" i="10"/>
  <c r="S42" i="10"/>
  <c r="I43" i="10"/>
  <c r="J43" i="10"/>
  <c r="L43" i="10"/>
  <c r="M43" i="10"/>
  <c r="N43" i="10"/>
  <c r="O43" i="10"/>
  <c r="P43" i="10"/>
  <c r="R43" i="10"/>
  <c r="S43" i="10"/>
  <c r="I44" i="10"/>
  <c r="J44" i="10"/>
  <c r="L44" i="10"/>
  <c r="M44" i="10"/>
  <c r="N44" i="10"/>
  <c r="O44" i="10"/>
  <c r="P44" i="10"/>
  <c r="R44" i="10"/>
  <c r="S44" i="10"/>
  <c r="I45" i="10"/>
  <c r="J45" i="10"/>
  <c r="L45" i="10"/>
  <c r="M45" i="10"/>
  <c r="N45" i="10"/>
  <c r="O45" i="10"/>
  <c r="P45" i="10"/>
  <c r="R45" i="10"/>
  <c r="S45" i="10"/>
  <c r="I46" i="10"/>
  <c r="J46" i="10"/>
  <c r="L46" i="10"/>
  <c r="M46" i="10"/>
  <c r="N46" i="10"/>
  <c r="O46" i="10"/>
  <c r="P46" i="10"/>
  <c r="R46" i="10"/>
  <c r="S46" i="10"/>
  <c r="I47" i="10"/>
  <c r="J47" i="10"/>
  <c r="L47" i="10"/>
  <c r="M47" i="10"/>
  <c r="N47" i="10"/>
  <c r="O47" i="10"/>
  <c r="P47" i="10"/>
  <c r="R47" i="10"/>
  <c r="S47" i="10"/>
  <c r="I48" i="10"/>
  <c r="J48" i="10"/>
  <c r="L48" i="10"/>
  <c r="M48" i="10"/>
  <c r="N48" i="10"/>
  <c r="O48" i="10"/>
  <c r="P48" i="10"/>
  <c r="R48" i="10"/>
  <c r="S48" i="10"/>
  <c r="I49" i="10"/>
  <c r="J49" i="10"/>
  <c r="L49" i="10"/>
  <c r="M49" i="10"/>
  <c r="N49" i="10"/>
  <c r="O49" i="10"/>
  <c r="P49" i="10"/>
  <c r="R49" i="10"/>
  <c r="S49" i="10"/>
  <c r="I50" i="10"/>
  <c r="J50" i="10"/>
  <c r="L50" i="10"/>
  <c r="M50" i="10"/>
  <c r="N50" i="10"/>
  <c r="O50" i="10"/>
  <c r="P50" i="10"/>
  <c r="R50" i="10"/>
  <c r="S50" i="10"/>
  <c r="I51" i="10"/>
  <c r="J51" i="10"/>
  <c r="L51" i="10"/>
  <c r="M51" i="10"/>
  <c r="N51" i="10"/>
  <c r="O51" i="10"/>
  <c r="P51" i="10"/>
  <c r="R51" i="10"/>
  <c r="S51" i="10"/>
  <c r="I52" i="10"/>
  <c r="J52" i="10"/>
  <c r="L52" i="10"/>
  <c r="M52" i="10"/>
  <c r="N52" i="10"/>
  <c r="O52" i="10"/>
  <c r="P52" i="10"/>
  <c r="R52" i="10"/>
  <c r="S52" i="10"/>
  <c r="I53" i="10"/>
  <c r="J53" i="10"/>
  <c r="L53" i="10"/>
  <c r="M53" i="10"/>
  <c r="N53" i="10"/>
  <c r="O53" i="10"/>
  <c r="P53" i="10"/>
  <c r="R53" i="10"/>
  <c r="S53" i="10"/>
  <c r="I54" i="10"/>
  <c r="J54" i="10"/>
  <c r="L54" i="10"/>
  <c r="M54" i="10"/>
  <c r="N54" i="10"/>
  <c r="O54" i="10"/>
  <c r="P54" i="10"/>
  <c r="R54" i="10"/>
  <c r="S54" i="10"/>
  <c r="I55" i="10"/>
  <c r="J55" i="10"/>
  <c r="L55" i="10"/>
  <c r="M55" i="10"/>
  <c r="N55" i="10"/>
  <c r="O55" i="10"/>
  <c r="P55" i="10"/>
  <c r="R55" i="10"/>
  <c r="S55" i="10"/>
  <c r="I56" i="10"/>
  <c r="J56" i="10"/>
  <c r="L56" i="10"/>
  <c r="M56" i="10"/>
  <c r="N56" i="10"/>
  <c r="O56" i="10"/>
  <c r="P56" i="10"/>
  <c r="R56" i="10"/>
  <c r="S56" i="10"/>
  <c r="I57" i="10"/>
  <c r="J57" i="10"/>
  <c r="L57" i="10"/>
  <c r="M57" i="10"/>
  <c r="N57" i="10"/>
  <c r="O57" i="10"/>
  <c r="P57" i="10"/>
  <c r="R57" i="10"/>
  <c r="S57" i="10"/>
  <c r="I58" i="10"/>
  <c r="J58" i="10"/>
  <c r="L58" i="10"/>
  <c r="M58" i="10"/>
  <c r="N58" i="10"/>
  <c r="O58" i="10"/>
  <c r="P58" i="10"/>
  <c r="R58" i="10"/>
  <c r="S58" i="10"/>
  <c r="I59" i="10"/>
  <c r="J59" i="10"/>
  <c r="L59" i="10"/>
  <c r="M59" i="10"/>
  <c r="N59" i="10"/>
  <c r="O59" i="10"/>
  <c r="P59" i="10"/>
  <c r="R59" i="10"/>
  <c r="S59" i="10"/>
  <c r="I60" i="10"/>
  <c r="J60" i="10"/>
  <c r="L60" i="10"/>
  <c r="M60" i="10"/>
  <c r="N60" i="10"/>
  <c r="O60" i="10"/>
  <c r="P60" i="10"/>
  <c r="R60" i="10"/>
  <c r="S60" i="10"/>
  <c r="I61" i="10"/>
  <c r="J61" i="10"/>
  <c r="L61" i="10"/>
  <c r="M61" i="10"/>
  <c r="N61" i="10"/>
  <c r="O61" i="10"/>
  <c r="P61" i="10"/>
  <c r="R61" i="10"/>
  <c r="S61" i="10"/>
  <c r="I62" i="10"/>
  <c r="J62" i="10"/>
  <c r="L62" i="10"/>
  <c r="M62" i="10"/>
  <c r="N62" i="10"/>
  <c r="O62" i="10"/>
  <c r="P62" i="10"/>
  <c r="R62" i="10"/>
  <c r="S62" i="10"/>
  <c r="I63" i="10"/>
  <c r="J63" i="10"/>
  <c r="L63" i="10"/>
  <c r="M63" i="10"/>
  <c r="N63" i="10"/>
  <c r="O63" i="10"/>
  <c r="P63" i="10"/>
  <c r="R63" i="10"/>
  <c r="S63" i="10"/>
  <c r="I64" i="10"/>
  <c r="J64" i="10"/>
  <c r="L64" i="10"/>
  <c r="M64" i="10"/>
  <c r="N64" i="10"/>
  <c r="O64" i="10"/>
  <c r="P64" i="10"/>
  <c r="R64" i="10"/>
  <c r="S64" i="10"/>
  <c r="I65" i="10"/>
  <c r="J65" i="10"/>
  <c r="L65" i="10"/>
  <c r="M65" i="10"/>
  <c r="N65" i="10"/>
  <c r="O65" i="10"/>
  <c r="P65" i="10"/>
  <c r="R65" i="10"/>
  <c r="S65" i="10"/>
  <c r="I66" i="10"/>
  <c r="J66" i="10"/>
  <c r="L66" i="10"/>
  <c r="M66" i="10"/>
  <c r="N66" i="10"/>
  <c r="O66" i="10"/>
  <c r="P66" i="10"/>
  <c r="R66" i="10"/>
  <c r="S66" i="10"/>
  <c r="I67" i="10"/>
  <c r="J67" i="10"/>
  <c r="L67" i="10"/>
  <c r="M67" i="10"/>
  <c r="N67" i="10"/>
  <c r="O67" i="10"/>
  <c r="P67" i="10"/>
  <c r="R67" i="10"/>
  <c r="S67" i="10"/>
  <c r="I68" i="10"/>
  <c r="J68" i="10"/>
  <c r="L68" i="10"/>
  <c r="M68" i="10"/>
  <c r="N68" i="10"/>
  <c r="O68" i="10"/>
  <c r="P68" i="10"/>
  <c r="R68" i="10"/>
  <c r="S68" i="10"/>
  <c r="I69" i="10"/>
  <c r="J69" i="10"/>
  <c r="L69" i="10"/>
  <c r="M69" i="10"/>
  <c r="N69" i="10"/>
  <c r="O69" i="10"/>
  <c r="P69" i="10"/>
  <c r="R69" i="10"/>
  <c r="S69" i="10"/>
  <c r="I70" i="10"/>
  <c r="J70" i="10"/>
  <c r="L70" i="10"/>
  <c r="M70" i="10"/>
  <c r="N70" i="10"/>
  <c r="O70" i="10"/>
  <c r="P70" i="10"/>
  <c r="R70" i="10"/>
  <c r="S70" i="10"/>
  <c r="I71" i="10"/>
  <c r="J71" i="10"/>
  <c r="L71" i="10"/>
  <c r="M71" i="10"/>
  <c r="N71" i="10"/>
  <c r="O71" i="10"/>
  <c r="P71" i="10"/>
  <c r="R71" i="10"/>
  <c r="S71" i="10"/>
  <c r="I72" i="10"/>
  <c r="J72" i="10"/>
  <c r="L72" i="10"/>
  <c r="M72" i="10"/>
  <c r="N72" i="10"/>
  <c r="O72" i="10"/>
  <c r="P72" i="10"/>
  <c r="R72" i="10"/>
  <c r="S72" i="10"/>
  <c r="I73" i="10"/>
  <c r="J73" i="10"/>
  <c r="L73" i="10"/>
  <c r="M73" i="10"/>
  <c r="N73" i="10"/>
  <c r="O73" i="10"/>
  <c r="P73" i="10"/>
  <c r="R73" i="10"/>
  <c r="S73" i="10"/>
  <c r="I74" i="10"/>
  <c r="J74" i="10"/>
  <c r="L74" i="10"/>
  <c r="M74" i="10"/>
  <c r="N74" i="10"/>
  <c r="O74" i="10"/>
  <c r="P74" i="10"/>
  <c r="R74" i="10"/>
  <c r="S74" i="10"/>
  <c r="I75" i="10"/>
  <c r="J75" i="10"/>
  <c r="L75" i="10"/>
  <c r="M75" i="10"/>
  <c r="N75" i="10"/>
  <c r="O75" i="10"/>
  <c r="P75" i="10"/>
  <c r="R75" i="10"/>
  <c r="S75" i="10"/>
  <c r="I78" i="10"/>
  <c r="J78" i="10"/>
  <c r="I82" i="10"/>
  <c r="J82" i="10"/>
  <c r="I83" i="10"/>
  <c r="J83" i="10"/>
  <c r="I84" i="10"/>
  <c r="J84" i="10"/>
  <c r="S76" i="10"/>
  <c r="S85" i="10"/>
  <c r="R76" i="10"/>
  <c r="R85" i="10"/>
  <c r="Q76" i="10"/>
  <c r="Q85" i="10"/>
  <c r="P76" i="10"/>
  <c r="P85" i="10"/>
  <c r="N76" i="10"/>
  <c r="N85" i="10"/>
  <c r="M76" i="10"/>
  <c r="M85" i="10"/>
  <c r="L76" i="10"/>
  <c r="L85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85" i="10"/>
  <c r="J76" i="10"/>
  <c r="J85" i="10"/>
  <c r="I76" i="10"/>
  <c r="I85" i="10"/>
  <c r="H76" i="10"/>
  <c r="H85" i="10"/>
  <c r="G85" i="10"/>
  <c r="C76" i="10"/>
  <c r="C85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AH14" i="9"/>
  <c r="AG14" i="9"/>
  <c r="AF14" i="9"/>
  <c r="AE14" i="9"/>
  <c r="AD14" i="9"/>
  <c r="AC14" i="9"/>
  <c r="AB14" i="9"/>
  <c r="Z14" i="9"/>
  <c r="Y14" i="9"/>
  <c r="X14" i="9"/>
  <c r="W14" i="9"/>
  <c r="V14" i="9"/>
  <c r="U14" i="9"/>
  <c r="S14" i="9"/>
  <c r="Q14" i="9"/>
  <c r="P14" i="9"/>
  <c r="N14" i="9"/>
  <c r="M14" i="9"/>
  <c r="K14" i="9"/>
  <c r="J14" i="9"/>
  <c r="H14" i="9"/>
  <c r="G14" i="9"/>
  <c r="E14" i="9"/>
  <c r="C14" i="9"/>
  <c r="AD4" i="9"/>
  <c r="AE4" i="9"/>
  <c r="AF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K7" i="8"/>
  <c r="L7" i="8"/>
  <c r="N7" i="8"/>
  <c r="O7" i="8"/>
  <c r="P7" i="8"/>
  <c r="Q7" i="8"/>
  <c r="R7" i="8"/>
  <c r="S7" i="8"/>
  <c r="W7" i="8"/>
  <c r="X7" i="8"/>
  <c r="Y7" i="8"/>
  <c r="Z7" i="8"/>
  <c r="K8" i="8"/>
  <c r="L8" i="8"/>
  <c r="N8" i="8"/>
  <c r="O8" i="8"/>
  <c r="P8" i="8"/>
  <c r="Q8" i="8"/>
  <c r="R8" i="8"/>
  <c r="S8" i="8"/>
  <c r="W8" i="8"/>
  <c r="X8" i="8"/>
  <c r="Y8" i="8"/>
  <c r="Z8" i="8"/>
  <c r="Z9" i="8"/>
  <c r="Y9" i="8"/>
  <c r="X9" i="8"/>
  <c r="W9" i="8"/>
  <c r="U7" i="8"/>
  <c r="V7" i="8"/>
  <c r="U8" i="8"/>
  <c r="V8" i="8"/>
  <c r="V9" i="8"/>
  <c r="U9" i="8"/>
  <c r="T9" i="8"/>
  <c r="S9" i="8"/>
  <c r="R9" i="8"/>
  <c r="Q9" i="8"/>
  <c r="P9" i="8"/>
  <c r="O9" i="8"/>
  <c r="N9" i="8"/>
  <c r="L9" i="8"/>
  <c r="K9" i="8"/>
  <c r="J9" i="8"/>
  <c r="I9" i="8"/>
  <c r="G9" i="8"/>
  <c r="E9" i="8"/>
  <c r="C9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L3" i="7"/>
  <c r="AN42" i="7"/>
  <c r="AM42" i="7"/>
  <c r="AL42" i="7"/>
  <c r="AB42" i="7"/>
  <c r="AA42" i="7"/>
  <c r="Z42" i="7"/>
  <c r="AO76" i="7"/>
  <c r="AO84" i="7"/>
  <c r="AO93" i="7"/>
  <c r="AO128" i="7"/>
  <c r="AO137" i="7"/>
  <c r="AO139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3" i="7"/>
  <c r="AN44" i="7"/>
  <c r="AN45" i="7"/>
  <c r="AN46" i="7"/>
  <c r="AN47" i="7"/>
  <c r="AN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N72" i="7"/>
  <c r="AN73" i="7"/>
  <c r="AN74" i="7"/>
  <c r="AN75" i="7"/>
  <c r="AN76" i="7"/>
  <c r="AN78" i="7"/>
  <c r="AN79" i="7"/>
  <c r="AN80" i="7"/>
  <c r="AN81" i="7"/>
  <c r="AN82" i="7"/>
  <c r="AN83" i="7"/>
  <c r="AN84" i="7"/>
  <c r="AN86" i="7"/>
  <c r="AN87" i="7"/>
  <c r="AN88" i="7"/>
  <c r="AN89" i="7"/>
  <c r="AN90" i="7"/>
  <c r="AN91" i="7"/>
  <c r="AN92" i="7"/>
  <c r="AN93" i="7"/>
  <c r="AN95" i="7"/>
  <c r="AN96" i="7"/>
  <c r="AN97" i="7"/>
  <c r="AN98" i="7"/>
  <c r="AN99" i="7"/>
  <c r="AN100" i="7"/>
  <c r="AN101" i="7"/>
  <c r="AN102" i="7"/>
  <c r="AN103" i="7"/>
  <c r="AN104" i="7"/>
  <c r="AN105" i="7"/>
  <c r="AN106" i="7"/>
  <c r="AN107" i="7"/>
  <c r="AN108" i="7"/>
  <c r="AN109" i="7"/>
  <c r="AN110" i="7"/>
  <c r="AN111" i="7"/>
  <c r="AN112" i="7"/>
  <c r="AN113" i="7"/>
  <c r="AN114" i="7"/>
  <c r="AN115" i="7"/>
  <c r="AN116" i="7"/>
  <c r="AN117" i="7"/>
  <c r="AN118" i="7"/>
  <c r="AN119" i="7"/>
  <c r="AN120" i="7"/>
  <c r="AN121" i="7"/>
  <c r="AN122" i="7"/>
  <c r="AN123" i="7"/>
  <c r="AN124" i="7"/>
  <c r="AN125" i="7"/>
  <c r="AN126" i="7"/>
  <c r="AN127" i="7"/>
  <c r="AN128" i="7"/>
  <c r="AN130" i="7"/>
  <c r="AN131" i="7"/>
  <c r="AN132" i="7"/>
  <c r="AN133" i="7"/>
  <c r="AN134" i="7"/>
  <c r="AN135" i="7"/>
  <c r="AN136" i="7"/>
  <c r="AN137" i="7"/>
  <c r="AN139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19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3" i="7"/>
  <c r="AM34" i="7"/>
  <c r="AM35" i="7"/>
  <c r="AM36" i="7"/>
  <c r="AM37" i="7"/>
  <c r="AM38" i="7"/>
  <c r="AM39" i="7"/>
  <c r="AM40" i="7"/>
  <c r="AM41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8" i="7"/>
  <c r="AM79" i="7"/>
  <c r="AM80" i="7"/>
  <c r="AM81" i="7"/>
  <c r="AM82" i="7"/>
  <c r="AM83" i="7"/>
  <c r="AM84" i="7"/>
  <c r="AM86" i="7"/>
  <c r="AM87" i="7"/>
  <c r="AM88" i="7"/>
  <c r="AM89" i="7"/>
  <c r="AM90" i="7"/>
  <c r="AM91" i="7"/>
  <c r="AM92" i="7"/>
  <c r="AM93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30" i="7"/>
  <c r="AM131" i="7"/>
  <c r="AM132" i="7"/>
  <c r="AM133" i="7"/>
  <c r="AM134" i="7"/>
  <c r="AM135" i="7"/>
  <c r="AM136" i="7"/>
  <c r="AM137" i="7"/>
  <c r="AM139" i="7"/>
  <c r="AL7" i="7"/>
  <c r="AL8" i="7"/>
  <c r="AL9" i="7"/>
  <c r="AL10" i="7"/>
  <c r="AL11" i="7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27" i="7"/>
  <c r="AL28" i="7"/>
  <c r="AL29" i="7"/>
  <c r="AL30" i="7"/>
  <c r="AL31" i="7"/>
  <c r="AL32" i="7"/>
  <c r="AL33" i="7"/>
  <c r="AL34" i="7"/>
  <c r="AL35" i="7"/>
  <c r="AL36" i="7"/>
  <c r="AL37" i="7"/>
  <c r="AL38" i="7"/>
  <c r="AL39" i="7"/>
  <c r="AL40" i="7"/>
  <c r="AL41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L78" i="7"/>
  <c r="AL79" i="7"/>
  <c r="AL80" i="7"/>
  <c r="AL81" i="7"/>
  <c r="AL82" i="7"/>
  <c r="AL83" i="7"/>
  <c r="AL84" i="7"/>
  <c r="AL86" i="7"/>
  <c r="AL87" i="7"/>
  <c r="AL88" i="7"/>
  <c r="AL89" i="7"/>
  <c r="AL90" i="7"/>
  <c r="AL91" i="7"/>
  <c r="AL92" i="7"/>
  <c r="AL93" i="7"/>
  <c r="AL95" i="7"/>
  <c r="AL96" i="7"/>
  <c r="AL97" i="7"/>
  <c r="AL98" i="7"/>
  <c r="AL99" i="7"/>
  <c r="AL100" i="7"/>
  <c r="AL101" i="7"/>
  <c r="AL102" i="7"/>
  <c r="AL103" i="7"/>
  <c r="AL104" i="7"/>
  <c r="AL105" i="7"/>
  <c r="AL106" i="7"/>
  <c r="AL107" i="7"/>
  <c r="AL108" i="7"/>
  <c r="AL109" i="7"/>
  <c r="AL110" i="7"/>
  <c r="AL111" i="7"/>
  <c r="AL112" i="7"/>
  <c r="AL113" i="7"/>
  <c r="AL114" i="7"/>
  <c r="AL115" i="7"/>
  <c r="AL116" i="7"/>
  <c r="AL117" i="7"/>
  <c r="AL118" i="7"/>
  <c r="AL119" i="7"/>
  <c r="AL120" i="7"/>
  <c r="AL121" i="7"/>
  <c r="AL122" i="7"/>
  <c r="AL123" i="7"/>
  <c r="AL124" i="7"/>
  <c r="AL125" i="7"/>
  <c r="AL126" i="7"/>
  <c r="AL127" i="7"/>
  <c r="AL128" i="7"/>
  <c r="AL130" i="7"/>
  <c r="AL131" i="7"/>
  <c r="AL132" i="7"/>
  <c r="AL133" i="7"/>
  <c r="AL134" i="7"/>
  <c r="AL135" i="7"/>
  <c r="AL136" i="7"/>
  <c r="AL137" i="7"/>
  <c r="AL139" i="7"/>
  <c r="AK76" i="7"/>
  <c r="AK84" i="7"/>
  <c r="AK93" i="7"/>
  <c r="AK128" i="7"/>
  <c r="AK137" i="7"/>
  <c r="AK139" i="7"/>
  <c r="AJ76" i="7"/>
  <c r="AJ84" i="7"/>
  <c r="AJ93" i="7"/>
  <c r="AJ128" i="7"/>
  <c r="AJ137" i="7"/>
  <c r="AJ139" i="7"/>
  <c r="AI76" i="7"/>
  <c r="AI84" i="7"/>
  <c r="AI93" i="7"/>
  <c r="AI128" i="7"/>
  <c r="AI137" i="7"/>
  <c r="AI139" i="7"/>
  <c r="AH76" i="7"/>
  <c r="AH84" i="7"/>
  <c r="AH93" i="7"/>
  <c r="AH128" i="7"/>
  <c r="AH137" i="7"/>
  <c r="AH139" i="7"/>
  <c r="AG76" i="7"/>
  <c r="AG84" i="7"/>
  <c r="AG93" i="7"/>
  <c r="AG128" i="7"/>
  <c r="AG137" i="7"/>
  <c r="AG139" i="7"/>
  <c r="AF76" i="7"/>
  <c r="AF84" i="7"/>
  <c r="AF93" i="7"/>
  <c r="AF128" i="7"/>
  <c r="AF137" i="7"/>
  <c r="AF139" i="7"/>
  <c r="AE76" i="7"/>
  <c r="AE84" i="7"/>
  <c r="AE93" i="7"/>
  <c r="AE128" i="7"/>
  <c r="AE137" i="7"/>
  <c r="AE139" i="7"/>
  <c r="AD76" i="7"/>
  <c r="AD84" i="7"/>
  <c r="AD93" i="7"/>
  <c r="AD128" i="7"/>
  <c r="AD137" i="7"/>
  <c r="AD139" i="7"/>
  <c r="AC76" i="7"/>
  <c r="AC84" i="7"/>
  <c r="AC93" i="7"/>
  <c r="AC128" i="7"/>
  <c r="AC137" i="7"/>
  <c r="AC139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8" i="7"/>
  <c r="AB79" i="7"/>
  <c r="AB80" i="7"/>
  <c r="AB81" i="7"/>
  <c r="AB82" i="7"/>
  <c r="AB83" i="7"/>
  <c r="AB84" i="7"/>
  <c r="AB86" i="7"/>
  <c r="AB87" i="7"/>
  <c r="AB88" i="7"/>
  <c r="AB89" i="7"/>
  <c r="AB90" i="7"/>
  <c r="AB91" i="7"/>
  <c r="AB92" i="7"/>
  <c r="AB93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30" i="7"/>
  <c r="AB131" i="7"/>
  <c r="AB132" i="7"/>
  <c r="AB133" i="7"/>
  <c r="AB134" i="7"/>
  <c r="AB135" i="7"/>
  <c r="AB136" i="7"/>
  <c r="AB137" i="7"/>
  <c r="AB139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8" i="7"/>
  <c r="AA79" i="7"/>
  <c r="AA80" i="7"/>
  <c r="AA81" i="7"/>
  <c r="AA82" i="7"/>
  <c r="AA83" i="7"/>
  <c r="AA84" i="7"/>
  <c r="AA86" i="7"/>
  <c r="AA87" i="7"/>
  <c r="AA88" i="7"/>
  <c r="AA89" i="7"/>
  <c r="AA90" i="7"/>
  <c r="AA91" i="7"/>
  <c r="AA92" i="7"/>
  <c r="AA93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30" i="7"/>
  <c r="AA131" i="7"/>
  <c r="AA132" i="7"/>
  <c r="AA133" i="7"/>
  <c r="AA134" i="7"/>
  <c r="AA135" i="7"/>
  <c r="AA136" i="7"/>
  <c r="AA137" i="7"/>
  <c r="AA139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3" i="7"/>
  <c r="Z44" i="7"/>
  <c r="Z45" i="7"/>
  <c r="Z46" i="7"/>
  <c r="Z47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8" i="7"/>
  <c r="Z79" i="7"/>
  <c r="Z80" i="7"/>
  <c r="Z81" i="7"/>
  <c r="Z82" i="7"/>
  <c r="Z83" i="7"/>
  <c r="Z84" i="7"/>
  <c r="Z86" i="7"/>
  <c r="Z87" i="7"/>
  <c r="Z88" i="7"/>
  <c r="Z89" i="7"/>
  <c r="Z90" i="7"/>
  <c r="Z91" i="7"/>
  <c r="Z92" i="7"/>
  <c r="Z93" i="7"/>
  <c r="Z95" i="7"/>
  <c r="Z96" i="7"/>
  <c r="Z97" i="7"/>
  <c r="Z98" i="7"/>
  <c r="Z99" i="7"/>
  <c r="Z100" i="7"/>
  <c r="Z101" i="7"/>
  <c r="Z102" i="7"/>
  <c r="Z103" i="7"/>
  <c r="Z104" i="7"/>
  <c r="Z105" i="7"/>
  <c r="Z106" i="7"/>
  <c r="Z107" i="7"/>
  <c r="Z108" i="7"/>
  <c r="Z109" i="7"/>
  <c r="Z110" i="7"/>
  <c r="Z111" i="7"/>
  <c r="Z112" i="7"/>
  <c r="Z113" i="7"/>
  <c r="Z114" i="7"/>
  <c r="Z115" i="7"/>
  <c r="Z116" i="7"/>
  <c r="Z117" i="7"/>
  <c r="Z118" i="7"/>
  <c r="Z119" i="7"/>
  <c r="Z120" i="7"/>
  <c r="Z121" i="7"/>
  <c r="Z122" i="7"/>
  <c r="Z123" i="7"/>
  <c r="Z124" i="7"/>
  <c r="Z125" i="7"/>
  <c r="Z126" i="7"/>
  <c r="Z127" i="7"/>
  <c r="Z128" i="7"/>
  <c r="Z130" i="7"/>
  <c r="Z131" i="7"/>
  <c r="Z132" i="7"/>
  <c r="Z133" i="7"/>
  <c r="Z134" i="7"/>
  <c r="Z135" i="7"/>
  <c r="Z136" i="7"/>
  <c r="Z137" i="7"/>
  <c r="Z139" i="7"/>
  <c r="Y76" i="7"/>
  <c r="Y84" i="7"/>
  <c r="Y93" i="7"/>
  <c r="Y128" i="7"/>
  <c r="Y137" i="7"/>
  <c r="Y139" i="7"/>
  <c r="X76" i="7"/>
  <c r="X84" i="7"/>
  <c r="X93" i="7"/>
  <c r="X128" i="7"/>
  <c r="X137" i="7"/>
  <c r="X139" i="7"/>
  <c r="W76" i="7"/>
  <c r="W84" i="7"/>
  <c r="W93" i="7"/>
  <c r="W128" i="7"/>
  <c r="W137" i="7"/>
  <c r="W139" i="7"/>
  <c r="V76" i="7"/>
  <c r="V84" i="7"/>
  <c r="V93" i="7"/>
  <c r="V128" i="7"/>
  <c r="V137" i="7"/>
  <c r="V139" i="7"/>
  <c r="U76" i="7"/>
  <c r="U84" i="7"/>
  <c r="U93" i="7"/>
  <c r="U128" i="7"/>
  <c r="U137" i="7"/>
  <c r="U139" i="7"/>
  <c r="T76" i="7"/>
  <c r="T84" i="7"/>
  <c r="T93" i="7"/>
  <c r="T128" i="7"/>
  <c r="T137" i="7"/>
  <c r="T139" i="7"/>
  <c r="S76" i="7"/>
  <c r="S84" i="7"/>
  <c r="S93" i="7"/>
  <c r="S128" i="7"/>
  <c r="S137" i="7"/>
  <c r="S139" i="7"/>
  <c r="R76" i="7"/>
  <c r="R84" i="7"/>
  <c r="R93" i="7"/>
  <c r="R128" i="7"/>
  <c r="R137" i="7"/>
  <c r="R139" i="7"/>
  <c r="Q76" i="7"/>
  <c r="Q84" i="7"/>
  <c r="Q93" i="7"/>
  <c r="Q128" i="7"/>
  <c r="Q137" i="7"/>
  <c r="Q139" i="7"/>
  <c r="P76" i="7"/>
  <c r="P84" i="7"/>
  <c r="P93" i="7"/>
  <c r="P128" i="7"/>
  <c r="P137" i="7"/>
  <c r="P139" i="7"/>
  <c r="O76" i="7"/>
  <c r="O84" i="7"/>
  <c r="O93" i="7"/>
  <c r="O128" i="7"/>
  <c r="O137" i="7"/>
  <c r="O139" i="7"/>
  <c r="N76" i="7"/>
  <c r="N84" i="7"/>
  <c r="N93" i="7"/>
  <c r="N128" i="7"/>
  <c r="N137" i="7"/>
  <c r="N139" i="7"/>
  <c r="M76" i="7"/>
  <c r="M84" i="7"/>
  <c r="M93" i="7"/>
  <c r="M128" i="7"/>
  <c r="M137" i="7"/>
  <c r="M139" i="7"/>
  <c r="L76" i="7"/>
  <c r="L84" i="7"/>
  <c r="L93" i="7"/>
  <c r="L128" i="7"/>
  <c r="L137" i="7"/>
  <c r="L139" i="7"/>
  <c r="K76" i="7"/>
  <c r="K84" i="7"/>
  <c r="K93" i="7"/>
  <c r="K128" i="7"/>
  <c r="K137" i="7"/>
  <c r="K139" i="7"/>
  <c r="J76" i="7"/>
  <c r="J84" i="7"/>
  <c r="J93" i="7"/>
  <c r="J128" i="7"/>
  <c r="J137" i="7"/>
  <c r="J139" i="7"/>
  <c r="I76" i="7"/>
  <c r="I84" i="7"/>
  <c r="I93" i="7"/>
  <c r="I128" i="7"/>
  <c r="I137" i="7"/>
  <c r="I139" i="7"/>
  <c r="H76" i="7"/>
  <c r="H84" i="7"/>
  <c r="H93" i="7"/>
  <c r="H128" i="7"/>
  <c r="H137" i="7"/>
  <c r="H139" i="7"/>
  <c r="G76" i="7"/>
  <c r="G84" i="7"/>
  <c r="G93" i="7"/>
  <c r="G128" i="7"/>
  <c r="G137" i="7"/>
  <c r="G139" i="7"/>
  <c r="F76" i="7"/>
  <c r="F84" i="7"/>
  <c r="F93" i="7"/>
  <c r="F128" i="7"/>
  <c r="F137" i="7"/>
  <c r="F139" i="7"/>
  <c r="E76" i="7"/>
  <c r="E84" i="7"/>
  <c r="E93" i="7"/>
  <c r="E128" i="7"/>
  <c r="E137" i="7"/>
  <c r="E139" i="7"/>
  <c r="D76" i="7"/>
  <c r="D84" i="7"/>
  <c r="D93" i="7"/>
  <c r="D128" i="7"/>
  <c r="D137" i="7"/>
  <c r="D139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AP4" i="7"/>
  <c r="E76" i="6"/>
  <c r="G76" i="6"/>
  <c r="I76" i="6"/>
  <c r="H76" i="6"/>
  <c r="D4" i="6"/>
  <c r="E4" i="6"/>
  <c r="F4" i="6"/>
  <c r="G4" i="6"/>
  <c r="H4" i="6"/>
  <c r="I4" i="6"/>
  <c r="J4" i="6"/>
  <c r="K4" i="6"/>
  <c r="AY75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Z75" i="5"/>
  <c r="AW75" i="5"/>
  <c r="AV75" i="5"/>
  <c r="AR75" i="5"/>
  <c r="AR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S75" i="5"/>
  <c r="AO75" i="5"/>
  <c r="AK75" i="5"/>
  <c r="AI75" i="5"/>
  <c r="AG75" i="5"/>
  <c r="AF75" i="5"/>
  <c r="X75" i="5"/>
  <c r="V75" i="5"/>
  <c r="AZ74" i="5"/>
  <c r="AW74" i="5"/>
  <c r="AV74" i="5"/>
  <c r="AS74" i="5"/>
  <c r="AO74" i="5"/>
  <c r="AK74" i="5"/>
  <c r="AI74" i="5"/>
  <c r="AG74" i="5"/>
  <c r="AF74" i="5"/>
  <c r="X74" i="5"/>
  <c r="V74" i="5"/>
  <c r="AZ73" i="5"/>
  <c r="AW73" i="5"/>
  <c r="AV73" i="5"/>
  <c r="AS73" i="5"/>
  <c r="AO73" i="5"/>
  <c r="AK73" i="5"/>
  <c r="AI73" i="5"/>
  <c r="AG73" i="5"/>
  <c r="AF73" i="5"/>
  <c r="X73" i="5"/>
  <c r="V73" i="5"/>
  <c r="AZ72" i="5"/>
  <c r="AW72" i="5"/>
  <c r="AV72" i="5"/>
  <c r="AS72" i="5"/>
  <c r="AO72" i="5"/>
  <c r="AK72" i="5"/>
  <c r="AI72" i="5"/>
  <c r="AG72" i="5"/>
  <c r="AF72" i="5"/>
  <c r="X72" i="5"/>
  <c r="V72" i="5"/>
  <c r="AZ71" i="5"/>
  <c r="AW71" i="5"/>
  <c r="AV71" i="5"/>
  <c r="AS71" i="5"/>
  <c r="AO71" i="5"/>
  <c r="AK71" i="5"/>
  <c r="AI71" i="5"/>
  <c r="AG71" i="5"/>
  <c r="AF71" i="5"/>
  <c r="X71" i="5"/>
  <c r="V71" i="5"/>
  <c r="AZ70" i="5"/>
  <c r="AW70" i="5"/>
  <c r="AV70" i="5"/>
  <c r="AS70" i="5"/>
  <c r="AO70" i="5"/>
  <c r="AK70" i="5"/>
  <c r="AI70" i="5"/>
  <c r="AG70" i="5"/>
  <c r="AF70" i="5"/>
  <c r="X70" i="5"/>
  <c r="V70" i="5"/>
  <c r="AZ69" i="5"/>
  <c r="AW69" i="5"/>
  <c r="AV69" i="5"/>
  <c r="AS69" i="5"/>
  <c r="AO69" i="5"/>
  <c r="AK69" i="5"/>
  <c r="AI69" i="5"/>
  <c r="AG69" i="5"/>
  <c r="AF69" i="5"/>
  <c r="X69" i="5"/>
  <c r="V69" i="5"/>
  <c r="AZ68" i="5"/>
  <c r="AW68" i="5"/>
  <c r="AV68" i="5"/>
  <c r="AS68" i="5"/>
  <c r="AO68" i="5"/>
  <c r="AK68" i="5"/>
  <c r="AI68" i="5"/>
  <c r="AG68" i="5"/>
  <c r="AF68" i="5"/>
  <c r="X68" i="5"/>
  <c r="V68" i="5"/>
  <c r="AZ67" i="5"/>
  <c r="AW67" i="5"/>
  <c r="AV67" i="5"/>
  <c r="AS67" i="5"/>
  <c r="AO67" i="5"/>
  <c r="AK67" i="5"/>
  <c r="AI67" i="5"/>
  <c r="AG67" i="5"/>
  <c r="AF67" i="5"/>
  <c r="X67" i="5"/>
  <c r="V67" i="5"/>
  <c r="AZ66" i="5"/>
  <c r="AW66" i="5"/>
  <c r="AV66" i="5"/>
  <c r="AS66" i="5"/>
  <c r="AO66" i="5"/>
  <c r="AK66" i="5"/>
  <c r="AI66" i="5"/>
  <c r="AG66" i="5"/>
  <c r="AF66" i="5"/>
  <c r="X66" i="5"/>
  <c r="V66" i="5"/>
  <c r="AZ65" i="5"/>
  <c r="AW65" i="5"/>
  <c r="AV65" i="5"/>
  <c r="AS65" i="5"/>
  <c r="AO65" i="5"/>
  <c r="AK65" i="5"/>
  <c r="AI65" i="5"/>
  <c r="AG65" i="5"/>
  <c r="AF65" i="5"/>
  <c r="X65" i="5"/>
  <c r="V65" i="5"/>
  <c r="AZ64" i="5"/>
  <c r="AW64" i="5"/>
  <c r="AV64" i="5"/>
  <c r="AS64" i="5"/>
  <c r="AO64" i="5"/>
  <c r="AK64" i="5"/>
  <c r="AI64" i="5"/>
  <c r="AG64" i="5"/>
  <c r="AF64" i="5"/>
  <c r="X64" i="5"/>
  <c r="V64" i="5"/>
  <c r="AZ63" i="5"/>
  <c r="AW63" i="5"/>
  <c r="AV63" i="5"/>
  <c r="AS63" i="5"/>
  <c r="AO63" i="5"/>
  <c r="AK63" i="5"/>
  <c r="AI63" i="5"/>
  <c r="AG63" i="5"/>
  <c r="AF63" i="5"/>
  <c r="X63" i="5"/>
  <c r="V63" i="5"/>
  <c r="AZ62" i="5"/>
  <c r="AW62" i="5"/>
  <c r="AV62" i="5"/>
  <c r="AS62" i="5"/>
  <c r="AO62" i="5"/>
  <c r="AK62" i="5"/>
  <c r="AI62" i="5"/>
  <c r="AG62" i="5"/>
  <c r="AF62" i="5"/>
  <c r="X62" i="5"/>
  <c r="V62" i="5"/>
  <c r="AZ61" i="5"/>
  <c r="AW61" i="5"/>
  <c r="AV61" i="5"/>
  <c r="AS61" i="5"/>
  <c r="AO61" i="5"/>
  <c r="AK61" i="5"/>
  <c r="AI61" i="5"/>
  <c r="AG61" i="5"/>
  <c r="AF61" i="5"/>
  <c r="X61" i="5"/>
  <c r="V61" i="5"/>
  <c r="AZ60" i="5"/>
  <c r="AW60" i="5"/>
  <c r="AV60" i="5"/>
  <c r="AS60" i="5"/>
  <c r="AO60" i="5"/>
  <c r="AK60" i="5"/>
  <c r="AI60" i="5"/>
  <c r="AG60" i="5"/>
  <c r="AF60" i="5"/>
  <c r="X60" i="5"/>
  <c r="V60" i="5"/>
  <c r="AZ59" i="5"/>
  <c r="AW59" i="5"/>
  <c r="AV59" i="5"/>
  <c r="AS59" i="5"/>
  <c r="AO59" i="5"/>
  <c r="AK59" i="5"/>
  <c r="AI59" i="5"/>
  <c r="AG59" i="5"/>
  <c r="AF59" i="5"/>
  <c r="X59" i="5"/>
  <c r="V59" i="5"/>
  <c r="AZ58" i="5"/>
  <c r="AW58" i="5"/>
  <c r="AV58" i="5"/>
  <c r="AS58" i="5"/>
  <c r="AO58" i="5"/>
  <c r="AK58" i="5"/>
  <c r="AI58" i="5"/>
  <c r="AG58" i="5"/>
  <c r="AF58" i="5"/>
  <c r="X58" i="5"/>
  <c r="V58" i="5"/>
  <c r="AZ57" i="5"/>
  <c r="AW57" i="5"/>
  <c r="AV57" i="5"/>
  <c r="AS57" i="5"/>
  <c r="AO57" i="5"/>
  <c r="AK57" i="5"/>
  <c r="AI57" i="5"/>
  <c r="AG57" i="5"/>
  <c r="AF57" i="5"/>
  <c r="X57" i="5"/>
  <c r="V57" i="5"/>
  <c r="AZ56" i="5"/>
  <c r="AW56" i="5"/>
  <c r="AV56" i="5"/>
  <c r="AS56" i="5"/>
  <c r="AO56" i="5"/>
  <c r="AK56" i="5"/>
  <c r="AI56" i="5"/>
  <c r="AG56" i="5"/>
  <c r="AF56" i="5"/>
  <c r="X56" i="5"/>
  <c r="V56" i="5"/>
  <c r="AZ55" i="5"/>
  <c r="AW55" i="5"/>
  <c r="AV55" i="5"/>
  <c r="AS55" i="5"/>
  <c r="AO55" i="5"/>
  <c r="AK55" i="5"/>
  <c r="AI55" i="5"/>
  <c r="AG55" i="5"/>
  <c r="AF55" i="5"/>
  <c r="X55" i="5"/>
  <c r="V55" i="5"/>
  <c r="AZ54" i="5"/>
  <c r="AW54" i="5"/>
  <c r="AV54" i="5"/>
  <c r="AS54" i="5"/>
  <c r="AO54" i="5"/>
  <c r="AK54" i="5"/>
  <c r="AI54" i="5"/>
  <c r="AG54" i="5"/>
  <c r="AF54" i="5"/>
  <c r="X54" i="5"/>
  <c r="V54" i="5"/>
  <c r="AZ53" i="5"/>
  <c r="AW53" i="5"/>
  <c r="AV53" i="5"/>
  <c r="AS53" i="5"/>
  <c r="AO53" i="5"/>
  <c r="AK53" i="5"/>
  <c r="AI53" i="5"/>
  <c r="AG53" i="5"/>
  <c r="AF53" i="5"/>
  <c r="X53" i="5"/>
  <c r="V53" i="5"/>
  <c r="AZ52" i="5"/>
  <c r="AW52" i="5"/>
  <c r="AV52" i="5"/>
  <c r="AS52" i="5"/>
  <c r="AO52" i="5"/>
  <c r="AK52" i="5"/>
  <c r="AI52" i="5"/>
  <c r="AG52" i="5"/>
  <c r="AF52" i="5"/>
  <c r="X52" i="5"/>
  <c r="V52" i="5"/>
  <c r="AZ51" i="5"/>
  <c r="AW51" i="5"/>
  <c r="AV51" i="5"/>
  <c r="AS51" i="5"/>
  <c r="AO51" i="5"/>
  <c r="AK51" i="5"/>
  <c r="AI51" i="5"/>
  <c r="AG51" i="5"/>
  <c r="AF51" i="5"/>
  <c r="X51" i="5"/>
  <c r="V51" i="5"/>
  <c r="AZ50" i="5"/>
  <c r="AW50" i="5"/>
  <c r="AV50" i="5"/>
  <c r="AS50" i="5"/>
  <c r="AO50" i="5"/>
  <c r="AK50" i="5"/>
  <c r="AI50" i="5"/>
  <c r="AG50" i="5"/>
  <c r="AF50" i="5"/>
  <c r="X50" i="5"/>
  <c r="V50" i="5"/>
  <c r="AZ49" i="5"/>
  <c r="AW49" i="5"/>
  <c r="AV49" i="5"/>
  <c r="AS49" i="5"/>
  <c r="AO49" i="5"/>
  <c r="AK49" i="5"/>
  <c r="AI49" i="5"/>
  <c r="AG49" i="5"/>
  <c r="AF49" i="5"/>
  <c r="X49" i="5"/>
  <c r="V49" i="5"/>
  <c r="AZ48" i="5"/>
  <c r="AW48" i="5"/>
  <c r="AV48" i="5"/>
  <c r="AS48" i="5"/>
  <c r="AO48" i="5"/>
  <c r="AK48" i="5"/>
  <c r="AI48" i="5"/>
  <c r="AG48" i="5"/>
  <c r="AF48" i="5"/>
  <c r="X48" i="5"/>
  <c r="V48" i="5"/>
  <c r="AZ47" i="5"/>
  <c r="AW47" i="5"/>
  <c r="AV47" i="5"/>
  <c r="AS47" i="5"/>
  <c r="AO47" i="5"/>
  <c r="AK47" i="5"/>
  <c r="AI47" i="5"/>
  <c r="AG47" i="5"/>
  <c r="AF47" i="5"/>
  <c r="X47" i="5"/>
  <c r="V47" i="5"/>
  <c r="AZ46" i="5"/>
  <c r="AW46" i="5"/>
  <c r="AV46" i="5"/>
  <c r="AS46" i="5"/>
  <c r="AO46" i="5"/>
  <c r="AK46" i="5"/>
  <c r="AI46" i="5"/>
  <c r="AG46" i="5"/>
  <c r="AF46" i="5"/>
  <c r="X46" i="5"/>
  <c r="V46" i="5"/>
  <c r="AZ45" i="5"/>
  <c r="AW45" i="5"/>
  <c r="AV45" i="5"/>
  <c r="AS45" i="5"/>
  <c r="AO45" i="5"/>
  <c r="AK45" i="5"/>
  <c r="AI45" i="5"/>
  <c r="AG45" i="5"/>
  <c r="AF45" i="5"/>
  <c r="X45" i="5"/>
  <c r="V45" i="5"/>
  <c r="AZ44" i="5"/>
  <c r="AW44" i="5"/>
  <c r="AV44" i="5"/>
  <c r="AS44" i="5"/>
  <c r="AO44" i="5"/>
  <c r="AK44" i="5"/>
  <c r="AI44" i="5"/>
  <c r="AG44" i="5"/>
  <c r="AF44" i="5"/>
  <c r="X44" i="5"/>
  <c r="V44" i="5"/>
  <c r="AZ43" i="5"/>
  <c r="AW43" i="5"/>
  <c r="AV43" i="5"/>
  <c r="AS43" i="5"/>
  <c r="AO43" i="5"/>
  <c r="AK43" i="5"/>
  <c r="AI43" i="5"/>
  <c r="AG43" i="5"/>
  <c r="AF43" i="5"/>
  <c r="X43" i="5"/>
  <c r="V43" i="5"/>
  <c r="AZ42" i="5"/>
  <c r="AW42" i="5"/>
  <c r="AV42" i="5"/>
  <c r="AS42" i="5"/>
  <c r="AO42" i="5"/>
  <c r="AK42" i="5"/>
  <c r="AI42" i="5"/>
  <c r="AG42" i="5"/>
  <c r="AF42" i="5"/>
  <c r="X42" i="5"/>
  <c r="V42" i="5"/>
  <c r="AZ41" i="5"/>
  <c r="AW41" i="5"/>
  <c r="AV41" i="5"/>
  <c r="AS41" i="5"/>
  <c r="AO41" i="5"/>
  <c r="AK41" i="5"/>
  <c r="AI41" i="5"/>
  <c r="AG41" i="5"/>
  <c r="AF41" i="5"/>
  <c r="X41" i="5"/>
  <c r="V41" i="5"/>
  <c r="AZ40" i="5"/>
  <c r="AW40" i="5"/>
  <c r="AV40" i="5"/>
  <c r="AS40" i="5"/>
  <c r="AO40" i="5"/>
  <c r="AK40" i="5"/>
  <c r="AI40" i="5"/>
  <c r="AG40" i="5"/>
  <c r="AF40" i="5"/>
  <c r="X40" i="5"/>
  <c r="V40" i="5"/>
  <c r="AZ39" i="5"/>
  <c r="AW39" i="5"/>
  <c r="AV39" i="5"/>
  <c r="AS39" i="5"/>
  <c r="AO39" i="5"/>
  <c r="AK39" i="5"/>
  <c r="AI39" i="5"/>
  <c r="AG39" i="5"/>
  <c r="AF39" i="5"/>
  <c r="X39" i="5"/>
  <c r="V39" i="5"/>
  <c r="AZ38" i="5"/>
  <c r="AW38" i="5"/>
  <c r="AV38" i="5"/>
  <c r="AS38" i="5"/>
  <c r="AO38" i="5"/>
  <c r="AK38" i="5"/>
  <c r="AI38" i="5"/>
  <c r="AG38" i="5"/>
  <c r="AF38" i="5"/>
  <c r="X38" i="5"/>
  <c r="V38" i="5"/>
  <c r="AZ37" i="5"/>
  <c r="AW37" i="5"/>
  <c r="AV37" i="5"/>
  <c r="AS37" i="5"/>
  <c r="AO37" i="5"/>
  <c r="AK37" i="5"/>
  <c r="AI37" i="5"/>
  <c r="AG37" i="5"/>
  <c r="AF37" i="5"/>
  <c r="X37" i="5"/>
  <c r="V37" i="5"/>
  <c r="AZ36" i="5"/>
  <c r="AW36" i="5"/>
  <c r="AV36" i="5"/>
  <c r="AS36" i="5"/>
  <c r="AO36" i="5"/>
  <c r="AK36" i="5"/>
  <c r="AI36" i="5"/>
  <c r="AG36" i="5"/>
  <c r="AF36" i="5"/>
  <c r="X36" i="5"/>
  <c r="V36" i="5"/>
  <c r="AZ35" i="5"/>
  <c r="AW35" i="5"/>
  <c r="AV35" i="5"/>
  <c r="AS35" i="5"/>
  <c r="AO35" i="5"/>
  <c r="AK35" i="5"/>
  <c r="AI35" i="5"/>
  <c r="AG35" i="5"/>
  <c r="AF35" i="5"/>
  <c r="X35" i="5"/>
  <c r="V35" i="5"/>
  <c r="AZ34" i="5"/>
  <c r="AW34" i="5"/>
  <c r="AV34" i="5"/>
  <c r="AS34" i="5"/>
  <c r="AO34" i="5"/>
  <c r="AK34" i="5"/>
  <c r="AI34" i="5"/>
  <c r="AG34" i="5"/>
  <c r="AF34" i="5"/>
  <c r="X34" i="5"/>
  <c r="V34" i="5"/>
  <c r="AZ33" i="5"/>
  <c r="AW33" i="5"/>
  <c r="AV33" i="5"/>
  <c r="AS33" i="5"/>
  <c r="AO33" i="5"/>
  <c r="AK33" i="5"/>
  <c r="AI33" i="5"/>
  <c r="AG33" i="5"/>
  <c r="AF33" i="5"/>
  <c r="X33" i="5"/>
  <c r="V33" i="5"/>
  <c r="AZ32" i="5"/>
  <c r="AW32" i="5"/>
  <c r="AV32" i="5"/>
  <c r="AS32" i="5"/>
  <c r="AO32" i="5"/>
  <c r="AK32" i="5"/>
  <c r="AI32" i="5"/>
  <c r="AG32" i="5"/>
  <c r="AF32" i="5"/>
  <c r="X32" i="5"/>
  <c r="V32" i="5"/>
  <c r="AZ31" i="5"/>
  <c r="AW31" i="5"/>
  <c r="AV31" i="5"/>
  <c r="AS31" i="5"/>
  <c r="AO31" i="5"/>
  <c r="AK31" i="5"/>
  <c r="AI31" i="5"/>
  <c r="AG31" i="5"/>
  <c r="AF31" i="5"/>
  <c r="X31" i="5"/>
  <c r="V31" i="5"/>
  <c r="AZ30" i="5"/>
  <c r="AW30" i="5"/>
  <c r="AV30" i="5"/>
  <c r="AS30" i="5"/>
  <c r="AO30" i="5"/>
  <c r="AK30" i="5"/>
  <c r="AI30" i="5"/>
  <c r="AG30" i="5"/>
  <c r="AF30" i="5"/>
  <c r="X30" i="5"/>
  <c r="V30" i="5"/>
  <c r="AZ29" i="5"/>
  <c r="AW29" i="5"/>
  <c r="AV29" i="5"/>
  <c r="AS29" i="5"/>
  <c r="AO29" i="5"/>
  <c r="AK29" i="5"/>
  <c r="AI29" i="5"/>
  <c r="AG29" i="5"/>
  <c r="AF29" i="5"/>
  <c r="X29" i="5"/>
  <c r="V29" i="5"/>
  <c r="AZ28" i="5"/>
  <c r="AW28" i="5"/>
  <c r="AV28" i="5"/>
  <c r="AS28" i="5"/>
  <c r="AO28" i="5"/>
  <c r="AK28" i="5"/>
  <c r="AI28" i="5"/>
  <c r="AG28" i="5"/>
  <c r="AF28" i="5"/>
  <c r="X28" i="5"/>
  <c r="V28" i="5"/>
  <c r="AZ27" i="5"/>
  <c r="AW27" i="5"/>
  <c r="AV27" i="5"/>
  <c r="AS27" i="5"/>
  <c r="AO27" i="5"/>
  <c r="AK27" i="5"/>
  <c r="AI27" i="5"/>
  <c r="AG27" i="5"/>
  <c r="AF27" i="5"/>
  <c r="X27" i="5"/>
  <c r="V27" i="5"/>
  <c r="AZ26" i="5"/>
  <c r="AW26" i="5"/>
  <c r="AV26" i="5"/>
  <c r="AS26" i="5"/>
  <c r="AO26" i="5"/>
  <c r="AK26" i="5"/>
  <c r="AI26" i="5"/>
  <c r="AG26" i="5"/>
  <c r="AF26" i="5"/>
  <c r="X26" i="5"/>
  <c r="V26" i="5"/>
  <c r="AZ25" i="5"/>
  <c r="AW25" i="5"/>
  <c r="AV25" i="5"/>
  <c r="AS25" i="5"/>
  <c r="AO25" i="5"/>
  <c r="AK25" i="5"/>
  <c r="AI25" i="5"/>
  <c r="AG25" i="5"/>
  <c r="AF25" i="5"/>
  <c r="X25" i="5"/>
  <c r="V25" i="5"/>
  <c r="AZ24" i="5"/>
  <c r="AW24" i="5"/>
  <c r="AV24" i="5"/>
  <c r="AS24" i="5"/>
  <c r="AO24" i="5"/>
  <c r="AK24" i="5"/>
  <c r="AI24" i="5"/>
  <c r="AG24" i="5"/>
  <c r="AF24" i="5"/>
  <c r="X24" i="5"/>
  <c r="V24" i="5"/>
  <c r="AZ23" i="5"/>
  <c r="AW23" i="5"/>
  <c r="AV23" i="5"/>
  <c r="AS23" i="5"/>
  <c r="AO23" i="5"/>
  <c r="AK23" i="5"/>
  <c r="AI23" i="5"/>
  <c r="AG23" i="5"/>
  <c r="AF23" i="5"/>
  <c r="X23" i="5"/>
  <c r="V23" i="5"/>
  <c r="AZ22" i="5"/>
  <c r="AW22" i="5"/>
  <c r="AV22" i="5"/>
  <c r="AS22" i="5"/>
  <c r="AO22" i="5"/>
  <c r="AK22" i="5"/>
  <c r="AI22" i="5"/>
  <c r="AG22" i="5"/>
  <c r="AF22" i="5"/>
  <c r="X22" i="5"/>
  <c r="V22" i="5"/>
  <c r="AZ21" i="5"/>
  <c r="AW21" i="5"/>
  <c r="AV21" i="5"/>
  <c r="AS21" i="5"/>
  <c r="AO21" i="5"/>
  <c r="AK21" i="5"/>
  <c r="AI21" i="5"/>
  <c r="AG21" i="5"/>
  <c r="AF21" i="5"/>
  <c r="X21" i="5"/>
  <c r="V21" i="5"/>
  <c r="AZ20" i="5"/>
  <c r="AW20" i="5"/>
  <c r="AV20" i="5"/>
  <c r="AS20" i="5"/>
  <c r="AO20" i="5"/>
  <c r="AK20" i="5"/>
  <c r="AI20" i="5"/>
  <c r="AG20" i="5"/>
  <c r="AF20" i="5"/>
  <c r="X20" i="5"/>
  <c r="V20" i="5"/>
  <c r="AZ19" i="5"/>
  <c r="AW19" i="5"/>
  <c r="AV19" i="5"/>
  <c r="AS19" i="5"/>
  <c r="AO19" i="5"/>
  <c r="AK19" i="5"/>
  <c r="AI19" i="5"/>
  <c r="AG19" i="5"/>
  <c r="AF19" i="5"/>
  <c r="X19" i="5"/>
  <c r="V19" i="5"/>
  <c r="AZ18" i="5"/>
  <c r="AW18" i="5"/>
  <c r="AV18" i="5"/>
  <c r="AS18" i="5"/>
  <c r="AO18" i="5"/>
  <c r="AK18" i="5"/>
  <c r="AI18" i="5"/>
  <c r="AG18" i="5"/>
  <c r="AF18" i="5"/>
  <c r="X18" i="5"/>
  <c r="V18" i="5"/>
  <c r="AZ17" i="5"/>
  <c r="AW17" i="5"/>
  <c r="AV17" i="5"/>
  <c r="AS17" i="5"/>
  <c r="AO17" i="5"/>
  <c r="AK17" i="5"/>
  <c r="AI17" i="5"/>
  <c r="AG17" i="5"/>
  <c r="AF17" i="5"/>
  <c r="X17" i="5"/>
  <c r="V17" i="5"/>
  <c r="AZ16" i="5"/>
  <c r="AW16" i="5"/>
  <c r="AV16" i="5"/>
  <c r="AS16" i="5"/>
  <c r="AO16" i="5"/>
  <c r="AK16" i="5"/>
  <c r="AI16" i="5"/>
  <c r="AG16" i="5"/>
  <c r="AF16" i="5"/>
  <c r="X16" i="5"/>
  <c r="V16" i="5"/>
  <c r="AZ15" i="5"/>
  <c r="AW15" i="5"/>
  <c r="AV15" i="5"/>
  <c r="AS15" i="5"/>
  <c r="AO15" i="5"/>
  <c r="AK15" i="5"/>
  <c r="AI15" i="5"/>
  <c r="AG15" i="5"/>
  <c r="AF15" i="5"/>
  <c r="X15" i="5"/>
  <c r="V15" i="5"/>
  <c r="AZ14" i="5"/>
  <c r="AW14" i="5"/>
  <c r="AV14" i="5"/>
  <c r="AS14" i="5"/>
  <c r="AO14" i="5"/>
  <c r="AK14" i="5"/>
  <c r="AI14" i="5"/>
  <c r="AG14" i="5"/>
  <c r="AF14" i="5"/>
  <c r="X14" i="5"/>
  <c r="V14" i="5"/>
  <c r="AZ13" i="5"/>
  <c r="AW13" i="5"/>
  <c r="AV13" i="5"/>
  <c r="AS13" i="5"/>
  <c r="AO13" i="5"/>
  <c r="AK13" i="5"/>
  <c r="AI13" i="5"/>
  <c r="AG13" i="5"/>
  <c r="AF13" i="5"/>
  <c r="X13" i="5"/>
  <c r="V13" i="5"/>
  <c r="AZ12" i="5"/>
  <c r="AW12" i="5"/>
  <c r="AV12" i="5"/>
  <c r="AS12" i="5"/>
  <c r="AO12" i="5"/>
  <c r="AK12" i="5"/>
  <c r="AI12" i="5"/>
  <c r="AG12" i="5"/>
  <c r="AF12" i="5"/>
  <c r="X12" i="5"/>
  <c r="V12" i="5"/>
  <c r="AZ11" i="5"/>
  <c r="AW11" i="5"/>
  <c r="AV11" i="5"/>
  <c r="AS11" i="5"/>
  <c r="AO11" i="5"/>
  <c r="AK11" i="5"/>
  <c r="AI11" i="5"/>
  <c r="AG11" i="5"/>
  <c r="AF11" i="5"/>
  <c r="X11" i="5"/>
  <c r="V11" i="5"/>
  <c r="AZ10" i="5"/>
  <c r="AW10" i="5"/>
  <c r="AV10" i="5"/>
  <c r="AS10" i="5"/>
  <c r="AO10" i="5"/>
  <c r="AK10" i="5"/>
  <c r="AI10" i="5"/>
  <c r="AG10" i="5"/>
  <c r="AF10" i="5"/>
  <c r="X10" i="5"/>
  <c r="V10" i="5"/>
  <c r="AZ9" i="5"/>
  <c r="AW9" i="5"/>
  <c r="AV9" i="5"/>
  <c r="AS9" i="5"/>
  <c r="AO9" i="5"/>
  <c r="AK9" i="5"/>
  <c r="AI9" i="5"/>
  <c r="AG9" i="5"/>
  <c r="AF9" i="5"/>
  <c r="X9" i="5"/>
  <c r="V9" i="5"/>
  <c r="AZ8" i="5"/>
  <c r="AW8" i="5"/>
  <c r="AV8" i="5"/>
  <c r="AS8" i="5"/>
  <c r="AO8" i="5"/>
  <c r="AK8" i="5"/>
  <c r="AI8" i="5"/>
  <c r="AG8" i="5"/>
  <c r="AF8" i="5"/>
  <c r="X8" i="5"/>
  <c r="V8" i="5"/>
  <c r="AZ7" i="5"/>
  <c r="AW7" i="5"/>
  <c r="AV7" i="5"/>
  <c r="AS7" i="5"/>
  <c r="AO7" i="5"/>
  <c r="AK7" i="5"/>
  <c r="AI7" i="5"/>
  <c r="AG7" i="5"/>
  <c r="AF7" i="5"/>
  <c r="X7" i="5"/>
  <c r="V7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O4" i="5"/>
  <c r="P4" i="5"/>
  <c r="Q4" i="5"/>
  <c r="R4" i="5"/>
  <c r="S4" i="5"/>
  <c r="N1" i="5"/>
  <c r="D7" i="4"/>
  <c r="AM7" i="4"/>
  <c r="BX7" i="4"/>
  <c r="D8" i="4"/>
  <c r="AM8" i="4"/>
  <c r="BX8" i="4"/>
  <c r="D9" i="4"/>
  <c r="AM9" i="4"/>
  <c r="BX9" i="4"/>
  <c r="D10" i="4"/>
  <c r="AM10" i="4"/>
  <c r="BX10" i="4"/>
  <c r="D11" i="4"/>
  <c r="AM11" i="4"/>
  <c r="BX11" i="4"/>
  <c r="D12" i="4"/>
  <c r="AM12" i="4"/>
  <c r="BX12" i="4"/>
  <c r="D13" i="4"/>
  <c r="AM13" i="4"/>
  <c r="BX13" i="4"/>
  <c r="D14" i="4"/>
  <c r="AM14" i="4"/>
  <c r="BX14" i="4"/>
  <c r="D15" i="4"/>
  <c r="E15" i="4"/>
  <c r="AM15" i="4"/>
  <c r="BX15" i="4"/>
  <c r="D16" i="4"/>
  <c r="AM16" i="4"/>
  <c r="BX16" i="4"/>
  <c r="D17" i="4"/>
  <c r="AM17" i="4"/>
  <c r="BX17" i="4"/>
  <c r="D18" i="4"/>
  <c r="AM18" i="4"/>
  <c r="BX18" i="4"/>
  <c r="D19" i="4"/>
  <c r="AM19" i="4"/>
  <c r="BX19" i="4"/>
  <c r="D20" i="4"/>
  <c r="AM20" i="4"/>
  <c r="BX20" i="4"/>
  <c r="D21" i="4"/>
  <c r="AM21" i="4"/>
  <c r="BX21" i="4"/>
  <c r="D22" i="4"/>
  <c r="AM22" i="4"/>
  <c r="BX22" i="4"/>
  <c r="D23" i="4"/>
  <c r="E23" i="4"/>
  <c r="AM23" i="4"/>
  <c r="AO23" i="4"/>
  <c r="AP23" i="4"/>
  <c r="BX23" i="4"/>
  <c r="D24" i="4"/>
  <c r="AM24" i="4"/>
  <c r="BX24" i="4"/>
  <c r="D25" i="4"/>
  <c r="AM25" i="4"/>
  <c r="BX25" i="4"/>
  <c r="D26" i="4"/>
  <c r="AM26" i="4"/>
  <c r="BX26" i="4"/>
  <c r="D27" i="4"/>
  <c r="AM27" i="4"/>
  <c r="BX27" i="4"/>
  <c r="D28" i="4"/>
  <c r="AM28" i="4"/>
  <c r="BX28" i="4"/>
  <c r="D29" i="4"/>
  <c r="AM29" i="4"/>
  <c r="BX29" i="4"/>
  <c r="D30" i="4"/>
  <c r="AM30" i="4"/>
  <c r="BX30" i="4"/>
  <c r="D31" i="4"/>
  <c r="AM31" i="4"/>
  <c r="BX31" i="4"/>
  <c r="D32" i="4"/>
  <c r="AM32" i="4"/>
  <c r="BX32" i="4"/>
  <c r="D33" i="4"/>
  <c r="AM33" i="4"/>
  <c r="BX33" i="4"/>
  <c r="D34" i="4"/>
  <c r="AM34" i="4"/>
  <c r="BX34" i="4"/>
  <c r="D35" i="4"/>
  <c r="AM35" i="4"/>
  <c r="BX35" i="4"/>
  <c r="D36" i="4"/>
  <c r="AM36" i="4"/>
  <c r="BX36" i="4"/>
  <c r="D37" i="4"/>
  <c r="AM37" i="4"/>
  <c r="BX37" i="4"/>
  <c r="D38" i="4"/>
  <c r="AM38" i="4"/>
  <c r="BX38" i="4"/>
  <c r="D39" i="4"/>
  <c r="AM39" i="4"/>
  <c r="BX39" i="4"/>
  <c r="D40" i="4"/>
  <c r="AM40" i="4"/>
  <c r="BX40" i="4"/>
  <c r="D41" i="4"/>
  <c r="AM41" i="4"/>
  <c r="BX41" i="4"/>
  <c r="D42" i="4"/>
  <c r="AM42" i="4"/>
  <c r="BX42" i="4"/>
  <c r="D43" i="4"/>
  <c r="AM43" i="4"/>
  <c r="BX43" i="4"/>
  <c r="D44" i="4"/>
  <c r="AM44" i="4"/>
  <c r="BX44" i="4"/>
  <c r="D45" i="4"/>
  <c r="AM45" i="4"/>
  <c r="BX45" i="4"/>
  <c r="D46" i="4"/>
  <c r="AM46" i="4"/>
  <c r="BX46" i="4"/>
  <c r="D47" i="4"/>
  <c r="AM47" i="4"/>
  <c r="BX47" i="4"/>
  <c r="D48" i="4"/>
  <c r="AM48" i="4"/>
  <c r="BX48" i="4"/>
  <c r="D49" i="4"/>
  <c r="AM49" i="4"/>
  <c r="BX49" i="4"/>
  <c r="D50" i="4"/>
  <c r="AM50" i="4"/>
  <c r="BX50" i="4"/>
  <c r="D51" i="4"/>
  <c r="AM51" i="4"/>
  <c r="BX51" i="4"/>
  <c r="D52" i="4"/>
  <c r="AM52" i="4"/>
  <c r="BX52" i="4"/>
  <c r="D53" i="4"/>
  <c r="AM53" i="4"/>
  <c r="BX53" i="4"/>
  <c r="D54" i="4"/>
  <c r="AM54" i="4"/>
  <c r="BX54" i="4"/>
  <c r="D55" i="4"/>
  <c r="AM55" i="4"/>
  <c r="BX55" i="4"/>
  <c r="D56" i="4"/>
  <c r="AM56" i="4"/>
  <c r="BX56" i="4"/>
  <c r="D57" i="4"/>
  <c r="AM57" i="4"/>
  <c r="BX57" i="4"/>
  <c r="D58" i="4"/>
  <c r="AM58" i="4"/>
  <c r="BX58" i="4"/>
  <c r="D59" i="4"/>
  <c r="AM59" i="4"/>
  <c r="BX59" i="4"/>
  <c r="D60" i="4"/>
  <c r="AM60" i="4"/>
  <c r="BX60" i="4"/>
  <c r="D61" i="4"/>
  <c r="AM61" i="4"/>
  <c r="BX61" i="4"/>
  <c r="D62" i="4"/>
  <c r="AM62" i="4"/>
  <c r="BX62" i="4"/>
  <c r="D63" i="4"/>
  <c r="AM63" i="4"/>
  <c r="BX63" i="4"/>
  <c r="D64" i="4"/>
  <c r="AM64" i="4"/>
  <c r="BX64" i="4"/>
  <c r="D65" i="4"/>
  <c r="AM65" i="4"/>
  <c r="BX65" i="4"/>
  <c r="D66" i="4"/>
  <c r="AM66" i="4"/>
  <c r="BX66" i="4"/>
  <c r="D67" i="4"/>
  <c r="AM67" i="4"/>
  <c r="BX67" i="4"/>
  <c r="D68" i="4"/>
  <c r="AM68" i="4"/>
  <c r="BX68" i="4"/>
  <c r="D69" i="4"/>
  <c r="AM69" i="4"/>
  <c r="BX69" i="4"/>
  <c r="D70" i="4"/>
  <c r="AM70" i="4"/>
  <c r="BX70" i="4"/>
  <c r="D71" i="4"/>
  <c r="AM71" i="4"/>
  <c r="BX71" i="4"/>
  <c r="D72" i="4"/>
  <c r="AM72" i="4"/>
  <c r="BX72" i="4"/>
  <c r="D73" i="4"/>
  <c r="AM73" i="4"/>
  <c r="BX73" i="4"/>
  <c r="D74" i="4"/>
  <c r="AM74" i="4"/>
  <c r="BX74" i="4"/>
  <c r="D75" i="4"/>
  <c r="AM75" i="4"/>
  <c r="BX75" i="4"/>
  <c r="AM76" i="4"/>
  <c r="AO76" i="4"/>
  <c r="BX76" i="4"/>
  <c r="AR7" i="2"/>
  <c r="AS7" i="2"/>
  <c r="AT7" i="2"/>
  <c r="AU7" i="2"/>
  <c r="AV7" i="2"/>
  <c r="AW7" i="2"/>
  <c r="AX7" i="2"/>
  <c r="AZ7" i="2"/>
  <c r="BA7" i="2"/>
  <c r="C7" i="4"/>
  <c r="AN7" i="4"/>
  <c r="BY7" i="4"/>
  <c r="AR8" i="2"/>
  <c r="AS8" i="2"/>
  <c r="AT8" i="2"/>
  <c r="AU8" i="2"/>
  <c r="AV8" i="2"/>
  <c r="AW8" i="2"/>
  <c r="AX8" i="2"/>
  <c r="AZ8" i="2"/>
  <c r="BA8" i="2"/>
  <c r="C8" i="4"/>
  <c r="AN8" i="4"/>
  <c r="BY8" i="4"/>
  <c r="AR9" i="2"/>
  <c r="AS9" i="2"/>
  <c r="AT9" i="2"/>
  <c r="AU9" i="2"/>
  <c r="AV9" i="2"/>
  <c r="AW9" i="2"/>
  <c r="AX9" i="2"/>
  <c r="AZ9" i="2"/>
  <c r="BA9" i="2"/>
  <c r="C9" i="4"/>
  <c r="AN9" i="4"/>
  <c r="BY9" i="4"/>
  <c r="AR10" i="2"/>
  <c r="AS10" i="2"/>
  <c r="AT10" i="2"/>
  <c r="AU10" i="2"/>
  <c r="AV10" i="2"/>
  <c r="AW10" i="2"/>
  <c r="AX10" i="2"/>
  <c r="AZ10" i="2"/>
  <c r="BA10" i="2"/>
  <c r="C10" i="4"/>
  <c r="AN10" i="4"/>
  <c r="BY10" i="4"/>
  <c r="AR11" i="2"/>
  <c r="AS11" i="2"/>
  <c r="AT11" i="2"/>
  <c r="AU11" i="2"/>
  <c r="AV11" i="2"/>
  <c r="AW11" i="2"/>
  <c r="AX11" i="2"/>
  <c r="AZ11" i="2"/>
  <c r="BA11" i="2"/>
  <c r="C11" i="4"/>
  <c r="AN11" i="4"/>
  <c r="BY11" i="4"/>
  <c r="AR12" i="2"/>
  <c r="AS12" i="2"/>
  <c r="AT12" i="2"/>
  <c r="AU12" i="2"/>
  <c r="AV12" i="2"/>
  <c r="AW12" i="2"/>
  <c r="AX12" i="2"/>
  <c r="AZ12" i="2"/>
  <c r="BA12" i="2"/>
  <c r="C12" i="4"/>
  <c r="AN12" i="4"/>
  <c r="BY12" i="4"/>
  <c r="AR13" i="2"/>
  <c r="AS13" i="2"/>
  <c r="AT13" i="2"/>
  <c r="AU13" i="2"/>
  <c r="AV13" i="2"/>
  <c r="AW13" i="2"/>
  <c r="AX13" i="2"/>
  <c r="AZ13" i="2"/>
  <c r="BA13" i="2"/>
  <c r="C13" i="4"/>
  <c r="AN13" i="4"/>
  <c r="BY13" i="4"/>
  <c r="AR14" i="2"/>
  <c r="AS14" i="2"/>
  <c r="AT14" i="2"/>
  <c r="AU14" i="2"/>
  <c r="AV14" i="2"/>
  <c r="AW14" i="2"/>
  <c r="AX14" i="2"/>
  <c r="AZ14" i="2"/>
  <c r="BA14" i="2"/>
  <c r="C14" i="4"/>
  <c r="AN14" i="4"/>
  <c r="BY14" i="4"/>
  <c r="AR15" i="2"/>
  <c r="AS15" i="2"/>
  <c r="AT15" i="2"/>
  <c r="AU15" i="2"/>
  <c r="AV15" i="2"/>
  <c r="AW15" i="2"/>
  <c r="AX15" i="2"/>
  <c r="AZ15" i="2"/>
  <c r="BA15" i="2"/>
  <c r="C15" i="4"/>
  <c r="AN15" i="4"/>
  <c r="BY15" i="4"/>
  <c r="AR16" i="2"/>
  <c r="AS16" i="2"/>
  <c r="AT16" i="2"/>
  <c r="AU16" i="2"/>
  <c r="AV16" i="2"/>
  <c r="AW16" i="2"/>
  <c r="AX16" i="2"/>
  <c r="AZ16" i="2"/>
  <c r="BA16" i="2"/>
  <c r="C16" i="4"/>
  <c r="AN16" i="4"/>
  <c r="BY16" i="4"/>
  <c r="AR17" i="2"/>
  <c r="AS17" i="2"/>
  <c r="AT17" i="2"/>
  <c r="AU17" i="2"/>
  <c r="AV17" i="2"/>
  <c r="AW17" i="2"/>
  <c r="AX17" i="2"/>
  <c r="AZ17" i="2"/>
  <c r="BA17" i="2"/>
  <c r="C17" i="4"/>
  <c r="AN17" i="4"/>
  <c r="BY17" i="4"/>
  <c r="AR18" i="2"/>
  <c r="AS18" i="2"/>
  <c r="AT18" i="2"/>
  <c r="AU18" i="2"/>
  <c r="AV18" i="2"/>
  <c r="AW18" i="2"/>
  <c r="AX18" i="2"/>
  <c r="AZ18" i="2"/>
  <c r="BA18" i="2"/>
  <c r="C18" i="4"/>
  <c r="AN18" i="4"/>
  <c r="BY18" i="4"/>
  <c r="AR19" i="2"/>
  <c r="AS19" i="2"/>
  <c r="AT19" i="2"/>
  <c r="AU19" i="2"/>
  <c r="AV19" i="2"/>
  <c r="AW19" i="2"/>
  <c r="AX19" i="2"/>
  <c r="AZ19" i="2"/>
  <c r="BA19" i="2"/>
  <c r="C19" i="4"/>
  <c r="AN19" i="4"/>
  <c r="BY19" i="4"/>
  <c r="AR20" i="2"/>
  <c r="AS20" i="2"/>
  <c r="AT20" i="2"/>
  <c r="AU20" i="2"/>
  <c r="AV20" i="2"/>
  <c r="AW20" i="2"/>
  <c r="AX20" i="2"/>
  <c r="AZ20" i="2"/>
  <c r="BA20" i="2"/>
  <c r="C20" i="4"/>
  <c r="AN20" i="4"/>
  <c r="BY20" i="4"/>
  <c r="AR21" i="2"/>
  <c r="AS21" i="2"/>
  <c r="AT21" i="2"/>
  <c r="AU21" i="2"/>
  <c r="AV21" i="2"/>
  <c r="AW21" i="2"/>
  <c r="AX21" i="2"/>
  <c r="AZ21" i="2"/>
  <c r="BA21" i="2"/>
  <c r="C21" i="4"/>
  <c r="AN21" i="4"/>
  <c r="BY21" i="4"/>
  <c r="AR22" i="2"/>
  <c r="AS22" i="2"/>
  <c r="AT22" i="2"/>
  <c r="AU22" i="2"/>
  <c r="AV22" i="2"/>
  <c r="AW22" i="2"/>
  <c r="AX22" i="2"/>
  <c r="AZ22" i="2"/>
  <c r="BA22" i="2"/>
  <c r="C22" i="4"/>
  <c r="AN22" i="4"/>
  <c r="BY22" i="4"/>
  <c r="AR23" i="2"/>
  <c r="AS23" i="2"/>
  <c r="AT23" i="2"/>
  <c r="AU23" i="2"/>
  <c r="AV23" i="2"/>
  <c r="AW23" i="2"/>
  <c r="AX23" i="2"/>
  <c r="AZ23" i="2"/>
  <c r="BA23" i="2"/>
  <c r="C23" i="4"/>
  <c r="AN23" i="4"/>
  <c r="BY23" i="4"/>
  <c r="AR24" i="2"/>
  <c r="AS24" i="2"/>
  <c r="AT24" i="2"/>
  <c r="AU24" i="2"/>
  <c r="AV24" i="2"/>
  <c r="AW24" i="2"/>
  <c r="AX24" i="2"/>
  <c r="AZ24" i="2"/>
  <c r="BA24" i="2"/>
  <c r="C24" i="4"/>
  <c r="AN24" i="4"/>
  <c r="BY24" i="4"/>
  <c r="AR25" i="2"/>
  <c r="AS25" i="2"/>
  <c r="AT25" i="2"/>
  <c r="AU25" i="2"/>
  <c r="AV25" i="2"/>
  <c r="AW25" i="2"/>
  <c r="AX25" i="2"/>
  <c r="AZ25" i="2"/>
  <c r="BA25" i="2"/>
  <c r="C25" i="4"/>
  <c r="AN25" i="4"/>
  <c r="BY25" i="4"/>
  <c r="AR26" i="2"/>
  <c r="AS26" i="2"/>
  <c r="AT26" i="2"/>
  <c r="AU26" i="2"/>
  <c r="AV26" i="2"/>
  <c r="AW26" i="2"/>
  <c r="AX26" i="2"/>
  <c r="AZ26" i="2"/>
  <c r="BA26" i="2"/>
  <c r="C26" i="4"/>
  <c r="AN26" i="4"/>
  <c r="BY26" i="4"/>
  <c r="AR27" i="2"/>
  <c r="AS27" i="2"/>
  <c r="AT27" i="2"/>
  <c r="AU27" i="2"/>
  <c r="AV27" i="2"/>
  <c r="AW27" i="2"/>
  <c r="AX27" i="2"/>
  <c r="AZ27" i="2"/>
  <c r="BA27" i="2"/>
  <c r="C27" i="4"/>
  <c r="AN27" i="4"/>
  <c r="BY27" i="4"/>
  <c r="AR28" i="2"/>
  <c r="AS28" i="2"/>
  <c r="AT28" i="2"/>
  <c r="AU28" i="2"/>
  <c r="AV28" i="2"/>
  <c r="AW28" i="2"/>
  <c r="AX28" i="2"/>
  <c r="AZ28" i="2"/>
  <c r="BA28" i="2"/>
  <c r="C28" i="4"/>
  <c r="AN28" i="4"/>
  <c r="BY28" i="4"/>
  <c r="AR29" i="2"/>
  <c r="AS29" i="2"/>
  <c r="AT29" i="2"/>
  <c r="AU29" i="2"/>
  <c r="AV29" i="2"/>
  <c r="AW29" i="2"/>
  <c r="AX29" i="2"/>
  <c r="AZ29" i="2"/>
  <c r="BA29" i="2"/>
  <c r="C29" i="4"/>
  <c r="AN29" i="4"/>
  <c r="BY29" i="4"/>
  <c r="AR30" i="2"/>
  <c r="AS30" i="2"/>
  <c r="AT30" i="2"/>
  <c r="AU30" i="2"/>
  <c r="AV30" i="2"/>
  <c r="AW30" i="2"/>
  <c r="AX30" i="2"/>
  <c r="AZ30" i="2"/>
  <c r="BA30" i="2"/>
  <c r="C30" i="4"/>
  <c r="AN30" i="4"/>
  <c r="BY30" i="4"/>
  <c r="AR31" i="2"/>
  <c r="AS31" i="2"/>
  <c r="AT31" i="2"/>
  <c r="AU31" i="2"/>
  <c r="AV31" i="2"/>
  <c r="AW31" i="2"/>
  <c r="AX31" i="2"/>
  <c r="AZ31" i="2"/>
  <c r="BA31" i="2"/>
  <c r="C31" i="4"/>
  <c r="AN31" i="4"/>
  <c r="BY31" i="4"/>
  <c r="AR32" i="2"/>
  <c r="AS32" i="2"/>
  <c r="AT32" i="2"/>
  <c r="AU32" i="2"/>
  <c r="AV32" i="2"/>
  <c r="AW32" i="2"/>
  <c r="AX32" i="2"/>
  <c r="AZ32" i="2"/>
  <c r="BA32" i="2"/>
  <c r="C32" i="4"/>
  <c r="AN32" i="4"/>
  <c r="BY32" i="4"/>
  <c r="AR33" i="2"/>
  <c r="AS33" i="2"/>
  <c r="AT33" i="2"/>
  <c r="AU33" i="2"/>
  <c r="AV33" i="2"/>
  <c r="AW33" i="2"/>
  <c r="AX33" i="2"/>
  <c r="AZ33" i="2"/>
  <c r="BA33" i="2"/>
  <c r="C33" i="4"/>
  <c r="AN33" i="4"/>
  <c r="BY33" i="4"/>
  <c r="AR34" i="2"/>
  <c r="AS34" i="2"/>
  <c r="AT34" i="2"/>
  <c r="AU34" i="2"/>
  <c r="AV34" i="2"/>
  <c r="AW34" i="2"/>
  <c r="AX34" i="2"/>
  <c r="AZ34" i="2"/>
  <c r="BA34" i="2"/>
  <c r="C34" i="4"/>
  <c r="AN34" i="4"/>
  <c r="BY34" i="4"/>
  <c r="AR35" i="2"/>
  <c r="AS35" i="2"/>
  <c r="AT35" i="2"/>
  <c r="AU35" i="2"/>
  <c r="AV35" i="2"/>
  <c r="AW35" i="2"/>
  <c r="AX35" i="2"/>
  <c r="AZ35" i="2"/>
  <c r="BA35" i="2"/>
  <c r="C35" i="4"/>
  <c r="AN35" i="4"/>
  <c r="BY35" i="4"/>
  <c r="AR36" i="2"/>
  <c r="AS36" i="2"/>
  <c r="AT36" i="2"/>
  <c r="AU36" i="2"/>
  <c r="AV36" i="2"/>
  <c r="AW36" i="2"/>
  <c r="AX36" i="2"/>
  <c r="AZ36" i="2"/>
  <c r="BA36" i="2"/>
  <c r="C36" i="4"/>
  <c r="AN36" i="4"/>
  <c r="BY36" i="4"/>
  <c r="AR37" i="2"/>
  <c r="AS37" i="2"/>
  <c r="AT37" i="2"/>
  <c r="AU37" i="2"/>
  <c r="AV37" i="2"/>
  <c r="AW37" i="2"/>
  <c r="AX37" i="2"/>
  <c r="AZ37" i="2"/>
  <c r="BA37" i="2"/>
  <c r="C37" i="4"/>
  <c r="AN37" i="4"/>
  <c r="BY37" i="4"/>
  <c r="AR38" i="2"/>
  <c r="AS38" i="2"/>
  <c r="AT38" i="2"/>
  <c r="AU38" i="2"/>
  <c r="AV38" i="2"/>
  <c r="AW38" i="2"/>
  <c r="AX38" i="2"/>
  <c r="AZ38" i="2"/>
  <c r="BA38" i="2"/>
  <c r="C38" i="4"/>
  <c r="AN38" i="4"/>
  <c r="BY38" i="4"/>
  <c r="AR39" i="2"/>
  <c r="AS39" i="2"/>
  <c r="AT39" i="2"/>
  <c r="AU39" i="2"/>
  <c r="AV39" i="2"/>
  <c r="AW39" i="2"/>
  <c r="AX39" i="2"/>
  <c r="AZ39" i="2"/>
  <c r="BA39" i="2"/>
  <c r="C39" i="4"/>
  <c r="AN39" i="4"/>
  <c r="BY39" i="4"/>
  <c r="AR40" i="2"/>
  <c r="AS40" i="2"/>
  <c r="AT40" i="2"/>
  <c r="AU40" i="2"/>
  <c r="AV40" i="2"/>
  <c r="AW40" i="2"/>
  <c r="AX40" i="2"/>
  <c r="AZ40" i="2"/>
  <c r="BA40" i="2"/>
  <c r="C40" i="4"/>
  <c r="AN40" i="4"/>
  <c r="BY40" i="4"/>
  <c r="AR41" i="2"/>
  <c r="AS41" i="2"/>
  <c r="AT41" i="2"/>
  <c r="AU41" i="2"/>
  <c r="AV41" i="2"/>
  <c r="AW41" i="2"/>
  <c r="AX41" i="2"/>
  <c r="AZ41" i="2"/>
  <c r="BA41" i="2"/>
  <c r="C41" i="4"/>
  <c r="AN41" i="4"/>
  <c r="BY41" i="4"/>
  <c r="AR42" i="2"/>
  <c r="AS42" i="2"/>
  <c r="AT42" i="2"/>
  <c r="AU42" i="2"/>
  <c r="AV42" i="2"/>
  <c r="AW42" i="2"/>
  <c r="AX42" i="2"/>
  <c r="AZ42" i="2"/>
  <c r="BA42" i="2"/>
  <c r="C42" i="4"/>
  <c r="AN42" i="4"/>
  <c r="BY42" i="4"/>
  <c r="AR43" i="2"/>
  <c r="AS43" i="2"/>
  <c r="AT43" i="2"/>
  <c r="AU43" i="2"/>
  <c r="AV43" i="2"/>
  <c r="AW43" i="2"/>
  <c r="AX43" i="2"/>
  <c r="AZ43" i="2"/>
  <c r="BA43" i="2"/>
  <c r="C43" i="4"/>
  <c r="AN43" i="4"/>
  <c r="BY43" i="4"/>
  <c r="AR44" i="2"/>
  <c r="AS44" i="2"/>
  <c r="AT44" i="2"/>
  <c r="AU44" i="2"/>
  <c r="AV44" i="2"/>
  <c r="AW44" i="2"/>
  <c r="AX44" i="2"/>
  <c r="AZ44" i="2"/>
  <c r="BA44" i="2"/>
  <c r="C44" i="4"/>
  <c r="AN44" i="4"/>
  <c r="BY44" i="4"/>
  <c r="AR45" i="2"/>
  <c r="AS45" i="2"/>
  <c r="AT45" i="2"/>
  <c r="AU45" i="2"/>
  <c r="AV45" i="2"/>
  <c r="AW45" i="2"/>
  <c r="AX45" i="2"/>
  <c r="AZ45" i="2"/>
  <c r="BA45" i="2"/>
  <c r="C45" i="4"/>
  <c r="AN45" i="4"/>
  <c r="BY45" i="4"/>
  <c r="AR46" i="2"/>
  <c r="AS46" i="2"/>
  <c r="AT46" i="2"/>
  <c r="AU46" i="2"/>
  <c r="AV46" i="2"/>
  <c r="AW46" i="2"/>
  <c r="AX46" i="2"/>
  <c r="AZ46" i="2"/>
  <c r="BA46" i="2"/>
  <c r="C46" i="4"/>
  <c r="AN46" i="4"/>
  <c r="BY46" i="4"/>
  <c r="AR47" i="2"/>
  <c r="AS47" i="2"/>
  <c r="AT47" i="2"/>
  <c r="AU47" i="2"/>
  <c r="AV47" i="2"/>
  <c r="AW47" i="2"/>
  <c r="AX47" i="2"/>
  <c r="AZ47" i="2"/>
  <c r="BA47" i="2"/>
  <c r="C47" i="4"/>
  <c r="AN47" i="4"/>
  <c r="BY47" i="4"/>
  <c r="AR48" i="2"/>
  <c r="AS48" i="2"/>
  <c r="AT48" i="2"/>
  <c r="AU48" i="2"/>
  <c r="AV48" i="2"/>
  <c r="AW48" i="2"/>
  <c r="AX48" i="2"/>
  <c r="AZ48" i="2"/>
  <c r="BA48" i="2"/>
  <c r="C48" i="4"/>
  <c r="AN48" i="4"/>
  <c r="BY48" i="4"/>
  <c r="AR49" i="2"/>
  <c r="AS49" i="2"/>
  <c r="AT49" i="2"/>
  <c r="AU49" i="2"/>
  <c r="AV49" i="2"/>
  <c r="AW49" i="2"/>
  <c r="AX49" i="2"/>
  <c r="AZ49" i="2"/>
  <c r="BA49" i="2"/>
  <c r="C49" i="4"/>
  <c r="AN49" i="4"/>
  <c r="BY49" i="4"/>
  <c r="AR50" i="2"/>
  <c r="AS50" i="2"/>
  <c r="AT50" i="2"/>
  <c r="AU50" i="2"/>
  <c r="AV50" i="2"/>
  <c r="AW50" i="2"/>
  <c r="AX50" i="2"/>
  <c r="AZ50" i="2"/>
  <c r="BA50" i="2"/>
  <c r="C50" i="4"/>
  <c r="AN50" i="4"/>
  <c r="BY50" i="4"/>
  <c r="AR51" i="2"/>
  <c r="AS51" i="2"/>
  <c r="AT51" i="2"/>
  <c r="AU51" i="2"/>
  <c r="AV51" i="2"/>
  <c r="AW51" i="2"/>
  <c r="AX51" i="2"/>
  <c r="AZ51" i="2"/>
  <c r="BA51" i="2"/>
  <c r="C51" i="4"/>
  <c r="AN51" i="4"/>
  <c r="BY51" i="4"/>
  <c r="AR52" i="2"/>
  <c r="AS52" i="2"/>
  <c r="AT52" i="2"/>
  <c r="AU52" i="2"/>
  <c r="AV52" i="2"/>
  <c r="AW52" i="2"/>
  <c r="AX52" i="2"/>
  <c r="AZ52" i="2"/>
  <c r="BA52" i="2"/>
  <c r="C52" i="4"/>
  <c r="AN52" i="4"/>
  <c r="BY52" i="4"/>
  <c r="AR53" i="2"/>
  <c r="AS53" i="2"/>
  <c r="AT53" i="2"/>
  <c r="AU53" i="2"/>
  <c r="AV53" i="2"/>
  <c r="AW53" i="2"/>
  <c r="AX53" i="2"/>
  <c r="AZ53" i="2"/>
  <c r="BA53" i="2"/>
  <c r="C53" i="4"/>
  <c r="AN53" i="4"/>
  <c r="BY53" i="4"/>
  <c r="AR54" i="2"/>
  <c r="AS54" i="2"/>
  <c r="AT54" i="2"/>
  <c r="AU54" i="2"/>
  <c r="AV54" i="2"/>
  <c r="AW54" i="2"/>
  <c r="AX54" i="2"/>
  <c r="AZ54" i="2"/>
  <c r="BA54" i="2"/>
  <c r="C54" i="4"/>
  <c r="AN54" i="4"/>
  <c r="BY54" i="4"/>
  <c r="AR55" i="2"/>
  <c r="AS55" i="2"/>
  <c r="AT55" i="2"/>
  <c r="AU55" i="2"/>
  <c r="AV55" i="2"/>
  <c r="AW55" i="2"/>
  <c r="AX55" i="2"/>
  <c r="AZ55" i="2"/>
  <c r="BA55" i="2"/>
  <c r="C55" i="4"/>
  <c r="AN55" i="4"/>
  <c r="BY55" i="4"/>
  <c r="AR56" i="2"/>
  <c r="AS56" i="2"/>
  <c r="AT56" i="2"/>
  <c r="AU56" i="2"/>
  <c r="AV56" i="2"/>
  <c r="AW56" i="2"/>
  <c r="AX56" i="2"/>
  <c r="AZ56" i="2"/>
  <c r="BA56" i="2"/>
  <c r="C56" i="4"/>
  <c r="AN56" i="4"/>
  <c r="BY56" i="4"/>
  <c r="AR57" i="2"/>
  <c r="AS57" i="2"/>
  <c r="AT57" i="2"/>
  <c r="AU57" i="2"/>
  <c r="AV57" i="2"/>
  <c r="AW57" i="2"/>
  <c r="AX57" i="2"/>
  <c r="AZ57" i="2"/>
  <c r="BA57" i="2"/>
  <c r="C57" i="4"/>
  <c r="AN57" i="4"/>
  <c r="BY57" i="4"/>
  <c r="AR58" i="2"/>
  <c r="AS58" i="2"/>
  <c r="AT58" i="2"/>
  <c r="AU58" i="2"/>
  <c r="AV58" i="2"/>
  <c r="AW58" i="2"/>
  <c r="AX58" i="2"/>
  <c r="AZ58" i="2"/>
  <c r="BA58" i="2"/>
  <c r="C58" i="4"/>
  <c r="AN58" i="4"/>
  <c r="BY58" i="4"/>
  <c r="AR59" i="2"/>
  <c r="AS59" i="2"/>
  <c r="AT59" i="2"/>
  <c r="AU59" i="2"/>
  <c r="AV59" i="2"/>
  <c r="AW59" i="2"/>
  <c r="AX59" i="2"/>
  <c r="AZ59" i="2"/>
  <c r="BA59" i="2"/>
  <c r="C59" i="4"/>
  <c r="AN59" i="4"/>
  <c r="BY59" i="4"/>
  <c r="AR60" i="2"/>
  <c r="AS60" i="2"/>
  <c r="AT60" i="2"/>
  <c r="AU60" i="2"/>
  <c r="AV60" i="2"/>
  <c r="AW60" i="2"/>
  <c r="AX60" i="2"/>
  <c r="AZ60" i="2"/>
  <c r="BA60" i="2"/>
  <c r="C60" i="4"/>
  <c r="AN60" i="4"/>
  <c r="BY60" i="4"/>
  <c r="AR61" i="2"/>
  <c r="AS61" i="2"/>
  <c r="AT61" i="2"/>
  <c r="AU61" i="2"/>
  <c r="AV61" i="2"/>
  <c r="AW61" i="2"/>
  <c r="AX61" i="2"/>
  <c r="AZ61" i="2"/>
  <c r="BA61" i="2"/>
  <c r="C61" i="4"/>
  <c r="AN61" i="4"/>
  <c r="BY61" i="4"/>
  <c r="AR62" i="2"/>
  <c r="AS62" i="2"/>
  <c r="AT62" i="2"/>
  <c r="AU62" i="2"/>
  <c r="AV62" i="2"/>
  <c r="AW62" i="2"/>
  <c r="AX62" i="2"/>
  <c r="AZ62" i="2"/>
  <c r="BA62" i="2"/>
  <c r="C62" i="4"/>
  <c r="AN62" i="4"/>
  <c r="BY62" i="4"/>
  <c r="AR63" i="2"/>
  <c r="AS63" i="2"/>
  <c r="AT63" i="2"/>
  <c r="AU63" i="2"/>
  <c r="AV63" i="2"/>
  <c r="AW63" i="2"/>
  <c r="AX63" i="2"/>
  <c r="AZ63" i="2"/>
  <c r="BA63" i="2"/>
  <c r="C63" i="4"/>
  <c r="AN63" i="4"/>
  <c r="BY63" i="4"/>
  <c r="AR64" i="2"/>
  <c r="AS64" i="2"/>
  <c r="AT64" i="2"/>
  <c r="AU64" i="2"/>
  <c r="AV64" i="2"/>
  <c r="AW64" i="2"/>
  <c r="AX64" i="2"/>
  <c r="AZ64" i="2"/>
  <c r="BA64" i="2"/>
  <c r="C64" i="4"/>
  <c r="AN64" i="4"/>
  <c r="BY64" i="4"/>
  <c r="AR65" i="2"/>
  <c r="AS65" i="2"/>
  <c r="AT65" i="2"/>
  <c r="AU65" i="2"/>
  <c r="AV65" i="2"/>
  <c r="AW65" i="2"/>
  <c r="AX65" i="2"/>
  <c r="AZ65" i="2"/>
  <c r="BA65" i="2"/>
  <c r="C65" i="4"/>
  <c r="AN65" i="4"/>
  <c r="BY65" i="4"/>
  <c r="AR66" i="2"/>
  <c r="AS66" i="2"/>
  <c r="AT66" i="2"/>
  <c r="AU66" i="2"/>
  <c r="AV66" i="2"/>
  <c r="AW66" i="2"/>
  <c r="AX66" i="2"/>
  <c r="AZ66" i="2"/>
  <c r="BA66" i="2"/>
  <c r="C66" i="4"/>
  <c r="AN66" i="4"/>
  <c r="BY66" i="4"/>
  <c r="AR67" i="2"/>
  <c r="AS67" i="2"/>
  <c r="AT67" i="2"/>
  <c r="AU67" i="2"/>
  <c r="AV67" i="2"/>
  <c r="AW67" i="2"/>
  <c r="AX67" i="2"/>
  <c r="AZ67" i="2"/>
  <c r="BA67" i="2"/>
  <c r="C67" i="4"/>
  <c r="AN67" i="4"/>
  <c r="BY67" i="4"/>
  <c r="AR68" i="2"/>
  <c r="AS68" i="2"/>
  <c r="AT68" i="2"/>
  <c r="AU68" i="2"/>
  <c r="AV68" i="2"/>
  <c r="AW68" i="2"/>
  <c r="AX68" i="2"/>
  <c r="AZ68" i="2"/>
  <c r="BA68" i="2"/>
  <c r="C68" i="4"/>
  <c r="AN68" i="4"/>
  <c r="BY68" i="4"/>
  <c r="AR69" i="2"/>
  <c r="AS69" i="2"/>
  <c r="AT69" i="2"/>
  <c r="AU69" i="2"/>
  <c r="AV69" i="2"/>
  <c r="AW69" i="2"/>
  <c r="AX69" i="2"/>
  <c r="AZ69" i="2"/>
  <c r="BA69" i="2"/>
  <c r="C69" i="4"/>
  <c r="AN69" i="4"/>
  <c r="BY69" i="4"/>
  <c r="AR70" i="2"/>
  <c r="AS70" i="2"/>
  <c r="AT70" i="2"/>
  <c r="AU70" i="2"/>
  <c r="AV70" i="2"/>
  <c r="AW70" i="2"/>
  <c r="AX70" i="2"/>
  <c r="AZ70" i="2"/>
  <c r="BA70" i="2"/>
  <c r="C70" i="4"/>
  <c r="AN70" i="4"/>
  <c r="BY70" i="4"/>
  <c r="AR71" i="2"/>
  <c r="AS71" i="2"/>
  <c r="AT71" i="2"/>
  <c r="AU71" i="2"/>
  <c r="AV71" i="2"/>
  <c r="AW71" i="2"/>
  <c r="AX71" i="2"/>
  <c r="AZ71" i="2"/>
  <c r="BA71" i="2"/>
  <c r="C71" i="4"/>
  <c r="AN71" i="4"/>
  <c r="BY71" i="4"/>
  <c r="AR72" i="2"/>
  <c r="AS72" i="2"/>
  <c r="AT72" i="2"/>
  <c r="AU72" i="2"/>
  <c r="AV72" i="2"/>
  <c r="AW72" i="2"/>
  <c r="AX72" i="2"/>
  <c r="AZ72" i="2"/>
  <c r="BA72" i="2"/>
  <c r="C72" i="4"/>
  <c r="AN72" i="4"/>
  <c r="BY72" i="4"/>
  <c r="AR73" i="2"/>
  <c r="AS73" i="2"/>
  <c r="AT73" i="2"/>
  <c r="AU73" i="2"/>
  <c r="AV73" i="2"/>
  <c r="AW73" i="2"/>
  <c r="AX73" i="2"/>
  <c r="AZ73" i="2"/>
  <c r="BA73" i="2"/>
  <c r="C73" i="4"/>
  <c r="AN73" i="4"/>
  <c r="BY73" i="4"/>
  <c r="AR74" i="2"/>
  <c r="AS74" i="2"/>
  <c r="AT74" i="2"/>
  <c r="AU74" i="2"/>
  <c r="AV74" i="2"/>
  <c r="AW74" i="2"/>
  <c r="AX74" i="2"/>
  <c r="AZ74" i="2"/>
  <c r="BA74" i="2"/>
  <c r="C74" i="4"/>
  <c r="AN74" i="4"/>
  <c r="BY74" i="4"/>
  <c r="AR75" i="2"/>
  <c r="AS75" i="2"/>
  <c r="AT75" i="2"/>
  <c r="AU75" i="2"/>
  <c r="AV75" i="2"/>
  <c r="AW75" i="2"/>
  <c r="AX75" i="2"/>
  <c r="AZ75" i="2"/>
  <c r="BA75" i="2"/>
  <c r="C75" i="4"/>
  <c r="AN75" i="4"/>
  <c r="BY75" i="4"/>
  <c r="BY76" i="4"/>
  <c r="AN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C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S5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B7" i="2"/>
  <c r="BC7" i="2"/>
  <c r="BD7" i="2"/>
  <c r="BE7" i="2"/>
  <c r="C7" i="3"/>
  <c r="D7" i="3"/>
  <c r="AN7" i="3"/>
  <c r="BB8" i="2"/>
  <c r="BC8" i="2"/>
  <c r="BD8" i="2"/>
  <c r="BE8" i="2"/>
  <c r="C8" i="3"/>
  <c r="D8" i="3"/>
  <c r="AN8" i="3"/>
  <c r="BB9" i="2"/>
  <c r="BC9" i="2"/>
  <c r="BD9" i="2"/>
  <c r="BE9" i="2"/>
  <c r="C9" i="3"/>
  <c r="D9" i="3"/>
  <c r="AN9" i="3"/>
  <c r="BB10" i="2"/>
  <c r="BC10" i="2"/>
  <c r="BD10" i="2"/>
  <c r="BE10" i="2"/>
  <c r="C10" i="3"/>
  <c r="D10" i="3"/>
  <c r="AN10" i="3"/>
  <c r="BB11" i="2"/>
  <c r="BC11" i="2"/>
  <c r="BD11" i="2"/>
  <c r="BE11" i="2"/>
  <c r="C11" i="3"/>
  <c r="D11" i="3"/>
  <c r="AN11" i="3"/>
  <c r="BB12" i="2"/>
  <c r="BC12" i="2"/>
  <c r="BD12" i="2"/>
  <c r="BE12" i="2"/>
  <c r="C12" i="3"/>
  <c r="D12" i="3"/>
  <c r="AN12" i="3"/>
  <c r="BB13" i="2"/>
  <c r="BC13" i="2"/>
  <c r="BD13" i="2"/>
  <c r="BE13" i="2"/>
  <c r="C13" i="3"/>
  <c r="D13" i="3"/>
  <c r="AN13" i="3"/>
  <c r="BB14" i="2"/>
  <c r="BC14" i="2"/>
  <c r="BD14" i="2"/>
  <c r="BE14" i="2"/>
  <c r="C14" i="3"/>
  <c r="D14" i="3"/>
  <c r="AN14" i="3"/>
  <c r="BB15" i="2"/>
  <c r="BC15" i="2"/>
  <c r="BD15" i="2"/>
  <c r="BE15" i="2"/>
  <c r="C15" i="3"/>
  <c r="D15" i="3"/>
  <c r="E15" i="3"/>
  <c r="AN15" i="3"/>
  <c r="BB16" i="2"/>
  <c r="BC16" i="2"/>
  <c r="BD16" i="2"/>
  <c r="BE16" i="2"/>
  <c r="C16" i="3"/>
  <c r="D16" i="3"/>
  <c r="AN16" i="3"/>
  <c r="BB17" i="2"/>
  <c r="BC17" i="2"/>
  <c r="BD17" i="2"/>
  <c r="BE17" i="2"/>
  <c r="C17" i="3"/>
  <c r="D17" i="3"/>
  <c r="AN17" i="3"/>
  <c r="BB18" i="2"/>
  <c r="BC18" i="2"/>
  <c r="BD18" i="2"/>
  <c r="BE18" i="2"/>
  <c r="C18" i="3"/>
  <c r="D18" i="3"/>
  <c r="AN18" i="3"/>
  <c r="BB19" i="2"/>
  <c r="BC19" i="2"/>
  <c r="BD19" i="2"/>
  <c r="BE19" i="2"/>
  <c r="C19" i="3"/>
  <c r="D19" i="3"/>
  <c r="AN19" i="3"/>
  <c r="BB20" i="2"/>
  <c r="BC20" i="2"/>
  <c r="BD20" i="2"/>
  <c r="BE20" i="2"/>
  <c r="C20" i="3"/>
  <c r="D20" i="3"/>
  <c r="AN20" i="3"/>
  <c r="BB21" i="2"/>
  <c r="BC21" i="2"/>
  <c r="BD21" i="2"/>
  <c r="BE21" i="2"/>
  <c r="C21" i="3"/>
  <c r="D21" i="3"/>
  <c r="AN21" i="3"/>
  <c r="BB22" i="2"/>
  <c r="BC22" i="2"/>
  <c r="BD22" i="2"/>
  <c r="BE22" i="2"/>
  <c r="C22" i="3"/>
  <c r="D22" i="3"/>
  <c r="AN22" i="3"/>
  <c r="BB23" i="2"/>
  <c r="BC23" i="2"/>
  <c r="BD23" i="2"/>
  <c r="BE23" i="2"/>
  <c r="C23" i="3"/>
  <c r="D23" i="3"/>
  <c r="E23" i="3"/>
  <c r="AN23" i="3"/>
  <c r="BB24" i="2"/>
  <c r="BC24" i="2"/>
  <c r="BD24" i="2"/>
  <c r="BE24" i="2"/>
  <c r="C24" i="3"/>
  <c r="D24" i="3"/>
  <c r="AN24" i="3"/>
  <c r="BB25" i="2"/>
  <c r="BC25" i="2"/>
  <c r="BD25" i="2"/>
  <c r="BE25" i="2"/>
  <c r="C25" i="3"/>
  <c r="D25" i="3"/>
  <c r="AN25" i="3"/>
  <c r="BB26" i="2"/>
  <c r="BC26" i="2"/>
  <c r="BD26" i="2"/>
  <c r="BE26" i="2"/>
  <c r="C26" i="3"/>
  <c r="D26" i="3"/>
  <c r="AN26" i="3"/>
  <c r="BB27" i="2"/>
  <c r="BC27" i="2"/>
  <c r="BD27" i="2"/>
  <c r="BE27" i="2"/>
  <c r="C27" i="3"/>
  <c r="D27" i="3"/>
  <c r="AN27" i="3"/>
  <c r="BB28" i="2"/>
  <c r="BC28" i="2"/>
  <c r="BD28" i="2"/>
  <c r="BE28" i="2"/>
  <c r="C28" i="3"/>
  <c r="D28" i="3"/>
  <c r="AN28" i="3"/>
  <c r="BB29" i="2"/>
  <c r="BC29" i="2"/>
  <c r="BD29" i="2"/>
  <c r="BE29" i="2"/>
  <c r="C29" i="3"/>
  <c r="D29" i="3"/>
  <c r="AN29" i="3"/>
  <c r="BB30" i="2"/>
  <c r="BC30" i="2"/>
  <c r="BD30" i="2"/>
  <c r="BE30" i="2"/>
  <c r="C30" i="3"/>
  <c r="D30" i="3"/>
  <c r="AN30" i="3"/>
  <c r="BB31" i="2"/>
  <c r="BC31" i="2"/>
  <c r="BD31" i="2"/>
  <c r="BE31" i="2"/>
  <c r="C31" i="3"/>
  <c r="D31" i="3"/>
  <c r="AN31" i="3"/>
  <c r="BB32" i="2"/>
  <c r="BC32" i="2"/>
  <c r="BD32" i="2"/>
  <c r="BE32" i="2"/>
  <c r="C32" i="3"/>
  <c r="D32" i="3"/>
  <c r="AN32" i="3"/>
  <c r="BB33" i="2"/>
  <c r="BC33" i="2"/>
  <c r="BD33" i="2"/>
  <c r="BE33" i="2"/>
  <c r="C33" i="3"/>
  <c r="D33" i="3"/>
  <c r="AN33" i="3"/>
  <c r="BB34" i="2"/>
  <c r="BC34" i="2"/>
  <c r="BD34" i="2"/>
  <c r="BE34" i="2"/>
  <c r="C34" i="3"/>
  <c r="D34" i="3"/>
  <c r="AN34" i="3"/>
  <c r="BB35" i="2"/>
  <c r="BC35" i="2"/>
  <c r="BD35" i="2"/>
  <c r="BE35" i="2"/>
  <c r="C35" i="3"/>
  <c r="D35" i="3"/>
  <c r="AN35" i="3"/>
  <c r="BB36" i="2"/>
  <c r="BC36" i="2"/>
  <c r="BD36" i="2"/>
  <c r="BE36" i="2"/>
  <c r="C36" i="3"/>
  <c r="D36" i="3"/>
  <c r="AN36" i="3"/>
  <c r="BB37" i="2"/>
  <c r="BC37" i="2"/>
  <c r="BD37" i="2"/>
  <c r="BE37" i="2"/>
  <c r="C37" i="3"/>
  <c r="D37" i="3"/>
  <c r="AN37" i="3"/>
  <c r="BB38" i="2"/>
  <c r="BC38" i="2"/>
  <c r="BD38" i="2"/>
  <c r="BE38" i="2"/>
  <c r="C38" i="3"/>
  <c r="D38" i="3"/>
  <c r="AN38" i="3"/>
  <c r="BB39" i="2"/>
  <c r="BC39" i="2"/>
  <c r="BD39" i="2"/>
  <c r="BE39" i="2"/>
  <c r="C39" i="3"/>
  <c r="D39" i="3"/>
  <c r="AN39" i="3"/>
  <c r="BB40" i="2"/>
  <c r="BC40" i="2"/>
  <c r="BD40" i="2"/>
  <c r="BE40" i="2"/>
  <c r="C40" i="3"/>
  <c r="D40" i="3"/>
  <c r="AN40" i="3"/>
  <c r="BB41" i="2"/>
  <c r="BC41" i="2"/>
  <c r="BD41" i="2"/>
  <c r="BE41" i="2"/>
  <c r="C41" i="3"/>
  <c r="D41" i="3"/>
  <c r="AN41" i="3"/>
  <c r="BB42" i="2"/>
  <c r="BC42" i="2"/>
  <c r="BD42" i="2"/>
  <c r="BE42" i="2"/>
  <c r="C42" i="3"/>
  <c r="D42" i="3"/>
  <c r="AN42" i="3"/>
  <c r="BB43" i="2"/>
  <c r="BC43" i="2"/>
  <c r="BD43" i="2"/>
  <c r="BE43" i="2"/>
  <c r="C43" i="3"/>
  <c r="D43" i="3"/>
  <c r="AN43" i="3"/>
  <c r="BB44" i="2"/>
  <c r="BC44" i="2"/>
  <c r="BD44" i="2"/>
  <c r="BE44" i="2"/>
  <c r="C44" i="3"/>
  <c r="D44" i="3"/>
  <c r="AN44" i="3"/>
  <c r="BB45" i="2"/>
  <c r="BC45" i="2"/>
  <c r="BD45" i="2"/>
  <c r="BE45" i="2"/>
  <c r="C45" i="3"/>
  <c r="D45" i="3"/>
  <c r="AN45" i="3"/>
  <c r="BB46" i="2"/>
  <c r="BC46" i="2"/>
  <c r="BD46" i="2"/>
  <c r="BE46" i="2"/>
  <c r="C46" i="3"/>
  <c r="D46" i="3"/>
  <c r="AN46" i="3"/>
  <c r="BB47" i="2"/>
  <c r="BC47" i="2"/>
  <c r="BD47" i="2"/>
  <c r="BE47" i="2"/>
  <c r="C47" i="3"/>
  <c r="D47" i="3"/>
  <c r="AN47" i="3"/>
  <c r="BB48" i="2"/>
  <c r="BC48" i="2"/>
  <c r="BD48" i="2"/>
  <c r="BE48" i="2"/>
  <c r="C48" i="3"/>
  <c r="D48" i="3"/>
  <c r="AN48" i="3"/>
  <c r="BB49" i="2"/>
  <c r="BC49" i="2"/>
  <c r="BD49" i="2"/>
  <c r="BE49" i="2"/>
  <c r="C49" i="3"/>
  <c r="D49" i="3"/>
  <c r="AN49" i="3"/>
  <c r="BB50" i="2"/>
  <c r="BC50" i="2"/>
  <c r="BD50" i="2"/>
  <c r="BE50" i="2"/>
  <c r="C50" i="3"/>
  <c r="D50" i="3"/>
  <c r="AN50" i="3"/>
  <c r="BB51" i="2"/>
  <c r="BC51" i="2"/>
  <c r="BD51" i="2"/>
  <c r="BE51" i="2"/>
  <c r="C51" i="3"/>
  <c r="D51" i="3"/>
  <c r="AN51" i="3"/>
  <c r="BB52" i="2"/>
  <c r="BC52" i="2"/>
  <c r="BD52" i="2"/>
  <c r="BE52" i="2"/>
  <c r="C52" i="3"/>
  <c r="D52" i="3"/>
  <c r="AN52" i="3"/>
  <c r="BB53" i="2"/>
  <c r="BC53" i="2"/>
  <c r="BD53" i="2"/>
  <c r="BE53" i="2"/>
  <c r="C53" i="3"/>
  <c r="D53" i="3"/>
  <c r="AN53" i="3"/>
  <c r="BB54" i="2"/>
  <c r="BC54" i="2"/>
  <c r="BD54" i="2"/>
  <c r="BE54" i="2"/>
  <c r="C54" i="3"/>
  <c r="D54" i="3"/>
  <c r="AN54" i="3"/>
  <c r="BB55" i="2"/>
  <c r="BC55" i="2"/>
  <c r="BD55" i="2"/>
  <c r="BE55" i="2"/>
  <c r="C55" i="3"/>
  <c r="D55" i="3"/>
  <c r="AN55" i="3"/>
  <c r="BB56" i="2"/>
  <c r="BC56" i="2"/>
  <c r="BD56" i="2"/>
  <c r="BE56" i="2"/>
  <c r="C56" i="3"/>
  <c r="D56" i="3"/>
  <c r="AN56" i="3"/>
  <c r="BB57" i="2"/>
  <c r="BC57" i="2"/>
  <c r="BD57" i="2"/>
  <c r="BE57" i="2"/>
  <c r="C57" i="3"/>
  <c r="D57" i="3"/>
  <c r="AN57" i="3"/>
  <c r="BB58" i="2"/>
  <c r="BC58" i="2"/>
  <c r="BD58" i="2"/>
  <c r="BE58" i="2"/>
  <c r="C58" i="3"/>
  <c r="D58" i="3"/>
  <c r="AN58" i="3"/>
  <c r="BB59" i="2"/>
  <c r="BC59" i="2"/>
  <c r="BD59" i="2"/>
  <c r="BE59" i="2"/>
  <c r="C59" i="3"/>
  <c r="D59" i="3"/>
  <c r="AN59" i="3"/>
  <c r="BB60" i="2"/>
  <c r="BC60" i="2"/>
  <c r="BD60" i="2"/>
  <c r="BE60" i="2"/>
  <c r="C60" i="3"/>
  <c r="D60" i="3"/>
  <c r="AN60" i="3"/>
  <c r="BB61" i="2"/>
  <c r="BC61" i="2"/>
  <c r="BD61" i="2"/>
  <c r="BE61" i="2"/>
  <c r="C61" i="3"/>
  <c r="D61" i="3"/>
  <c r="AN61" i="3"/>
  <c r="BB62" i="2"/>
  <c r="BC62" i="2"/>
  <c r="BD62" i="2"/>
  <c r="BE62" i="2"/>
  <c r="C62" i="3"/>
  <c r="D62" i="3"/>
  <c r="AN62" i="3"/>
  <c r="BB63" i="2"/>
  <c r="BC63" i="2"/>
  <c r="BD63" i="2"/>
  <c r="BE63" i="2"/>
  <c r="C63" i="3"/>
  <c r="D63" i="3"/>
  <c r="AN63" i="3"/>
  <c r="BB64" i="2"/>
  <c r="BC64" i="2"/>
  <c r="BD64" i="2"/>
  <c r="BE64" i="2"/>
  <c r="C64" i="3"/>
  <c r="D64" i="3"/>
  <c r="AN64" i="3"/>
  <c r="BB65" i="2"/>
  <c r="BC65" i="2"/>
  <c r="BD65" i="2"/>
  <c r="BE65" i="2"/>
  <c r="C65" i="3"/>
  <c r="D65" i="3"/>
  <c r="AN65" i="3"/>
  <c r="BB66" i="2"/>
  <c r="BC66" i="2"/>
  <c r="BD66" i="2"/>
  <c r="BE66" i="2"/>
  <c r="C66" i="3"/>
  <c r="D66" i="3"/>
  <c r="AN66" i="3"/>
  <c r="BB67" i="2"/>
  <c r="BC67" i="2"/>
  <c r="BD67" i="2"/>
  <c r="BE67" i="2"/>
  <c r="C67" i="3"/>
  <c r="D67" i="3"/>
  <c r="AN67" i="3"/>
  <c r="BB68" i="2"/>
  <c r="BC68" i="2"/>
  <c r="BD68" i="2"/>
  <c r="BE68" i="2"/>
  <c r="C68" i="3"/>
  <c r="D68" i="3"/>
  <c r="AN68" i="3"/>
  <c r="BB69" i="2"/>
  <c r="BC69" i="2"/>
  <c r="BD69" i="2"/>
  <c r="BE69" i="2"/>
  <c r="C69" i="3"/>
  <c r="D69" i="3"/>
  <c r="AN69" i="3"/>
  <c r="BB70" i="2"/>
  <c r="BC70" i="2"/>
  <c r="BD70" i="2"/>
  <c r="BE70" i="2"/>
  <c r="C70" i="3"/>
  <c r="D70" i="3"/>
  <c r="AN70" i="3"/>
  <c r="BB71" i="2"/>
  <c r="BC71" i="2"/>
  <c r="BD71" i="2"/>
  <c r="BE71" i="2"/>
  <c r="C71" i="3"/>
  <c r="D71" i="3"/>
  <c r="AN71" i="3"/>
  <c r="BB72" i="2"/>
  <c r="BC72" i="2"/>
  <c r="BD72" i="2"/>
  <c r="BE72" i="2"/>
  <c r="C72" i="3"/>
  <c r="D72" i="3"/>
  <c r="AN72" i="3"/>
  <c r="BB73" i="2"/>
  <c r="BC73" i="2"/>
  <c r="BD73" i="2"/>
  <c r="BE73" i="2"/>
  <c r="C73" i="3"/>
  <c r="D73" i="3"/>
  <c r="AN73" i="3"/>
  <c r="BB74" i="2"/>
  <c r="BC74" i="2"/>
  <c r="BD74" i="2"/>
  <c r="BE74" i="2"/>
  <c r="C74" i="3"/>
  <c r="D74" i="3"/>
  <c r="AN74" i="3"/>
  <c r="BB75" i="2"/>
  <c r="BC75" i="2"/>
  <c r="BD75" i="2"/>
  <c r="BE75" i="2"/>
  <c r="C75" i="3"/>
  <c r="D75" i="3"/>
  <c r="AN75" i="3"/>
  <c r="AN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BE76" i="2"/>
  <c r="AX76" i="2"/>
  <c r="BB76" i="2"/>
  <c r="BC76" i="2"/>
  <c r="BD76" i="2"/>
  <c r="BA76" i="2"/>
  <c r="AZ76" i="2"/>
  <c r="AY76" i="2"/>
  <c r="AW76" i="2"/>
  <c r="AV76" i="2"/>
  <c r="AU76" i="2"/>
  <c r="AT76" i="2"/>
  <c r="AS76" i="2"/>
  <c r="AR76" i="2"/>
  <c r="AQ76" i="2"/>
  <c r="AP7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</calcChain>
</file>

<file path=xl/sharedStrings.xml><?xml version="1.0" encoding="utf-8"?>
<sst xmlns="http://schemas.openxmlformats.org/spreadsheetml/2006/main" count="3227" uniqueCount="1293">
  <si>
    <t>FY2021-2022 MFP Budget Letter</t>
  </si>
  <si>
    <t>TABLE 1: STATE LEVEL SUMMARY</t>
  </si>
  <si>
    <t>MFP Formula Items</t>
  </si>
  <si>
    <t>FY2021-22 MFP
Budget Letter
July 2021</t>
  </si>
  <si>
    <t>Level 1 State Cost Allocation</t>
  </si>
  <si>
    <t xml:space="preserve">Level 2 Incentive for Local Effort </t>
  </si>
  <si>
    <r>
      <rPr>
        <b/>
        <sz val="12"/>
        <rFont val="Arial Narrow"/>
        <family val="2"/>
      </rPr>
      <t>Level 3 Legislative Allocations</t>
    </r>
    <r>
      <rPr>
        <sz val="12"/>
        <rFont val="Arial Narrow"/>
        <family val="2"/>
      </rPr>
      <t xml:space="preserve">
</t>
    </r>
    <r>
      <rPr>
        <sz val="11"/>
        <rFont val="Arial Narrow"/>
        <family val="2"/>
      </rPr>
      <t>(Continuation of Prior Year Pay Raises, Historical Formula Allocation, Mandated Costs)</t>
    </r>
  </si>
  <si>
    <r>
      <rPr>
        <b/>
        <sz val="12"/>
        <rFont val="Arial Narrow"/>
        <family val="2"/>
      </rPr>
      <t>Level 4 Supplementary Funding</t>
    </r>
    <r>
      <rPr>
        <sz val="12"/>
        <rFont val="Arial Narrow"/>
        <family val="2"/>
      </rPr>
      <t xml:space="preserve"> </t>
    </r>
    <r>
      <rPr>
        <sz val="12"/>
        <color rgb="FFFF0000"/>
        <rFont val="Arial Narrow"/>
        <family val="2"/>
      </rPr>
      <t xml:space="preserve">(Placeholder)
</t>
    </r>
    <r>
      <rPr>
        <sz val="11"/>
        <rFont val="Arial Narrow"/>
        <family val="2"/>
      </rPr>
      <t>(International Language/Escadrille Associate Program Salary and Stipend, Career Development, High Cost Services, Supplemental Course Allocation, FY2019-20 Certificated &amp; Non-Certificated Pay Raises, and FY2021-22 Certificated &amp; Non-Certificated Pay Raises)</t>
    </r>
  </si>
  <si>
    <r>
      <rPr>
        <b/>
        <sz val="12"/>
        <rFont val="Arial Narrow"/>
        <family val="2"/>
      </rPr>
      <t>Allocations for Other Public Schools</t>
    </r>
    <r>
      <rPr>
        <sz val="12"/>
        <rFont val="Arial Narrow"/>
        <family val="2"/>
      </rPr>
      <t xml:space="preserve">
</t>
    </r>
    <r>
      <rPr>
        <sz val="11"/>
        <rFont val="Arial Narrow"/>
        <family val="2"/>
      </rPr>
      <t>(Lab Schools, State Schools, and Legacy Type 2 Charter Schools)</t>
    </r>
  </si>
  <si>
    <t>Prior Year Audit Adjustments</t>
  </si>
  <si>
    <r>
      <rPr>
        <b/>
        <sz val="12"/>
        <rFont val="Arial Narrow"/>
        <family val="2"/>
      </rPr>
      <t>Mid-Year Student Allocations</t>
    </r>
    <r>
      <rPr>
        <sz val="12"/>
        <rFont val="Arial Narrow"/>
        <family val="2"/>
      </rPr>
      <t xml:space="preserve"> </t>
    </r>
    <r>
      <rPr>
        <sz val="12"/>
        <color rgb="FFFF0000"/>
        <rFont val="Arial Narrow"/>
        <family val="2"/>
      </rPr>
      <t>(Placeholder)</t>
    </r>
  </si>
  <si>
    <t>Total MFP State Cost Allocation</t>
  </si>
  <si>
    <t>School Systems
and Schools</t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</si>
  <si>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</si>
  <si>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</si>
  <si>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t>FY2021-22
Total MFP
Allocation
- State Cost
Allocations to
Other Public
Schools</t>
  </si>
  <si>
    <r>
      <t xml:space="preserve">City/Parish
Per Pupil
</t>
    </r>
    <r>
      <rPr>
        <sz val="10"/>
        <color rgb="FF000080"/>
        <rFont val="Arial"/>
        <family val="2"/>
      </rPr>
      <t>(After State Cost
Allocations to
Other Public
Schools)</t>
    </r>
  </si>
  <si>
    <t>Prior Years Audit Adjustments
City/Parish Only</t>
  </si>
  <si>
    <t>Mid-Year Adjustment for Students</t>
  </si>
  <si>
    <t>FY2021-22
Total MFP
Allocation
- State Cost
Allocations to
Other Public
Schools
+/- Adjustments</t>
  </si>
  <si>
    <t>Level 4 Funds Paid Monthly</t>
  </si>
  <si>
    <t>FY2021-22
Total MFP
Allocation
- State Cost
Allocations to
Other Public
Schools
+/- Adjustments
+ Monthly Level 4</t>
  </si>
  <si>
    <t xml:space="preserve"> YTD
Payments</t>
  </si>
  <si>
    <t>Balance
Remaining</t>
  </si>
  <si>
    <t>Monthly
Payments</t>
  </si>
  <si>
    <t>Level 4 Funds Paid Annually</t>
  </si>
  <si>
    <t>FY2021-22
Total MFP
Allocation
- State Cost
Allocations to
Other Public
Schools
+/- Adjustments
+ Total Level 4
Funds</t>
  </si>
  <si>
    <t>Recovery
School
District
&amp;
Type 5
Charters</t>
  </si>
  <si>
    <t>Madison
Prep
343001</t>
  </si>
  <si>
    <t>D'Arbonne
Woods
341001</t>
  </si>
  <si>
    <t>International
High School
344001</t>
  </si>
  <si>
    <t>New
Orleans
Military/
Maritime
348001</t>
  </si>
  <si>
    <t>Lycee
Francais
347001</t>
  </si>
  <si>
    <t>Lake
Charles
Charter
346001</t>
  </si>
  <si>
    <t>J.S. Clark
Academy
WAL001</t>
  </si>
  <si>
    <t>Southwest
Louisiana
Charter
WAK001</t>
  </si>
  <si>
    <t>Louisiana
Key
Academy
W7A001</t>
  </si>
  <si>
    <t>JCFA
East
W1A001</t>
  </si>
  <si>
    <t>GEO Prep
Mid-City
WZ8001</t>
  </si>
  <si>
    <t>Delta 
Charter
School
W4A001</t>
  </si>
  <si>
    <t>Impact
Charter
W8A001</t>
  </si>
  <si>
    <t>Advantage
Charter
Academy
W1B001</t>
  </si>
  <si>
    <t>Iberville
Charter
Academy
W3B001</t>
  </si>
  <si>
    <t>Lake
Charles
College
Preparatory
W4B001</t>
  </si>
  <si>
    <t>Northeast
Claiborne
Charter
W5B001</t>
  </si>
  <si>
    <t>Acadiana
Renaissance
W6B001</t>
  </si>
  <si>
    <t>Lafayette
Renaissance
W7B001</t>
  </si>
  <si>
    <t>Willow
Charter
Academy
W2B001</t>
  </si>
  <si>
    <t>GEO
Prep
Academy
WAU001</t>
  </si>
  <si>
    <t>Lincoln
Prep
School
W33001</t>
  </si>
  <si>
    <t>Noble
Minds
Institute
W18001</t>
  </si>
  <si>
    <t>JCFA
Lafayette
W1D001</t>
  </si>
  <si>
    <t>Collegiate
Academy
WJ5001</t>
  </si>
  <si>
    <t>New
Harmony
High
School
WBQ001</t>
  </si>
  <si>
    <t>Athlos
Academy
of Jefferson
Parish
WBR001</t>
  </si>
  <si>
    <t>GEO Next
Generation
High School
WBX001</t>
  </si>
  <si>
    <t>Red River
Charter
Academy
WBY001</t>
  </si>
  <si>
    <t>Louisiana
Virtual
Charter
Academy
WAG001</t>
  </si>
  <si>
    <t>University
View
Academy
345001</t>
  </si>
  <si>
    <t>Total
State Cost 
Allocations
to Other
Public
Schools</t>
  </si>
  <si>
    <r>
      <t xml:space="preserve">Prior Years
MFP Audit
Adjustments
</t>
    </r>
    <r>
      <rPr>
        <sz val="10"/>
        <color indexed="18"/>
        <rFont val="Arial"/>
        <family val="2"/>
      </rPr>
      <t>(Includes
FY2019-20 and
FY2020-21)</t>
    </r>
  </si>
  <si>
    <t>Total
Due to
District
(+)</t>
  </si>
  <si>
    <t>Total
Due to
State
(-)</t>
  </si>
  <si>
    <t>October
2021
Mid-Year
Adjustment
for Students</t>
  </si>
  <si>
    <t>February
2022
Mid-Year
Adjustment
for Students</t>
  </si>
  <si>
    <t>Total
Mid-Year
Adjustment
for Students</t>
  </si>
  <si>
    <t>Salaries for
International
Associate/
Escadrille
Teachers</t>
  </si>
  <si>
    <r>
      <t xml:space="preserve">Supplemental
Course
Allocation
</t>
    </r>
    <r>
      <rPr>
        <sz val="10"/>
        <color rgb="FFFF0000"/>
        <rFont val="Arial"/>
        <family val="2"/>
      </rPr>
      <t>(Initial)</t>
    </r>
  </si>
  <si>
    <r>
      <t xml:space="preserve">FY2019-20
Certificated
and Non-
Certificated
Pay Raise
</t>
    </r>
    <r>
      <rPr>
        <sz val="10"/>
        <color rgb="FFFF0000"/>
        <rFont val="Arial"/>
        <family val="2"/>
      </rPr>
      <t>(Placeholder)</t>
    </r>
  </si>
  <si>
    <r>
      <t xml:space="preserve">FY2021-22
Certificated
and Non-
Certificated
Pay Raise
</t>
    </r>
    <r>
      <rPr>
        <sz val="10"/>
        <color rgb="FFFF0000"/>
        <rFont val="Arial"/>
        <family val="2"/>
      </rPr>
      <t>(Placeholder)</t>
    </r>
  </si>
  <si>
    <t>Stipends for
International
Associate/
Escadrille
Teachers</t>
  </si>
  <si>
    <r>
      <t xml:space="preserve">Career
Development
Fund
Allocation
</t>
    </r>
    <r>
      <rPr>
        <sz val="10"/>
        <color rgb="FFFF0000"/>
        <rFont val="Arial"/>
        <family val="2"/>
      </rPr>
      <t>(Initial)</t>
    </r>
  </si>
  <si>
    <t>High Cost
Services
Allocation</t>
  </si>
  <si>
    <t>Link in File</t>
  </si>
  <si>
    <t>Formula</t>
  </si>
  <si>
    <t>Link out
of File</t>
  </si>
  <si>
    <t>(T3, C33)</t>
  </si>
  <si>
    <t>(T5B2, C6)</t>
  </si>
  <si>
    <t>-(T5C1A, C16)</t>
  </si>
  <si>
    <t>-(T5C1B, C16)</t>
  </si>
  <si>
    <t>-(T5C1C, C16)</t>
  </si>
  <si>
    <t>-(T5C1D, C16)</t>
  </si>
  <si>
    <t>-(T5C1E, C16)</t>
  </si>
  <si>
    <t>-(T5C1F, C16)</t>
  </si>
  <si>
    <t>-(T5C1G, C16)</t>
  </si>
  <si>
    <t>-(T5C1H, C16)</t>
  </si>
  <si>
    <t>-(T5C1I, C16)</t>
  </si>
  <si>
    <t>-(T5C1J, C16)</t>
  </si>
  <si>
    <t>-(T5C1M, C16)</t>
  </si>
  <si>
    <t>-(T5C1N, C16)</t>
  </si>
  <si>
    <t>-(T5C1O, C16)</t>
  </si>
  <si>
    <t>-(T5C1Q, C16)</t>
  </si>
  <si>
    <t>-(T5C1R, C16)</t>
  </si>
  <si>
    <t>-(T5C1S, C16)</t>
  </si>
  <si>
    <t>-(T5C1T, C16)</t>
  </si>
  <si>
    <t>-(T5C1U, C16)</t>
  </si>
  <si>
    <t>-(T5C1V, C16)</t>
  </si>
  <si>
    <t>-(T5C1W, C16)</t>
  </si>
  <si>
    <t>-(T5C1Y, C16)</t>
  </si>
  <si>
    <t>-(T5C1Z, C16)</t>
  </si>
  <si>
    <t>-(T5C1AE, C16)</t>
  </si>
  <si>
    <t>-(T5C1AF, C16)</t>
  </si>
  <si>
    <t>-(T5C1AG, C16)</t>
  </si>
  <si>
    <t>-(T5C1AI, C16)</t>
  </si>
  <si>
    <t>-(T5C1AJ, C16)</t>
  </si>
  <si>
    <t>-(T5C1AK, C16)</t>
  </si>
  <si>
    <t>-(T5C1AL, C16)</t>
  </si>
  <si>
    <t>-(T5C2,
C16 + C16a)</t>
  </si>
  <si>
    <t>-(T5C3,
C16 + C16a)</t>
  </si>
  <si>
    <t>Sum (C2:C33)</t>
  </si>
  <si>
    <t>C1 + C34 OR
Sum (C1:C33)</t>
  </si>
  <si>
    <r>
      <t xml:space="preserve">C35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(T8, C1)</t>
    </r>
  </si>
  <si>
    <t>Link to Audit File</t>
  </si>
  <si>
    <t>If C37 &gt; 0, C37, 0</t>
  </si>
  <si>
    <t>If C37 &lt; 0, C37, 0</t>
  </si>
  <si>
    <t>Link to October Tab in Mid-Year File</t>
  </si>
  <si>
    <t>Link to February Tab in Mid-Year File</t>
  </si>
  <si>
    <t>C40 + C41</t>
  </si>
  <si>
    <t>C35 + C37 + C42</t>
  </si>
  <si>
    <t>(T4, C2)</t>
  </si>
  <si>
    <t>(T4, C14)</t>
  </si>
  <si>
    <t>(T4, C26)</t>
  </si>
  <si>
    <t>(T4, C38)</t>
  </si>
  <si>
    <t>Sum (C43:C47)</t>
  </si>
  <si>
    <t>Prior Month File:
(T2, C49 + C51)</t>
  </si>
  <si>
    <t>C48 - C49</t>
  </si>
  <si>
    <t>C50 ÷ Months
Remaining</t>
  </si>
  <si>
    <t>(T4, C7)</t>
  </si>
  <si>
    <t>(T4, C9)</t>
  </si>
  <si>
    <t>(T4, C10)</t>
  </si>
  <si>
    <t>C48 + C52 + C53 + C54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</si>
  <si>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</si>
  <si>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</si>
  <si>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</si>
  <si>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</si>
  <si>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</si>
  <si>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</si>
  <si>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</si>
  <si>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</si>
  <si>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</si>
  <si>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</si>
  <si>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</si>
  <si>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</si>
  <si>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</si>
  <si>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</si>
  <si>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</si>
  <si>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</si>
  <si>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</si>
  <si>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</si>
  <si>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</si>
  <si>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</si>
  <si>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</si>
  <si>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</si>
  <si>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</si>
  <si>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</si>
  <si>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</si>
  <si>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</si>
  <si>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</si>
  <si>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</si>
  <si>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</si>
  <si>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</si>
  <si>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</si>
  <si>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</si>
  <si>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</si>
  <si>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</si>
  <si>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</si>
  <si>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</si>
  <si>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</si>
  <si>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</si>
  <si>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</si>
  <si>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</si>
  <si>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</si>
  <si>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</si>
  <si>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</si>
  <si>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</si>
  <si>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</si>
  <si>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</si>
  <si>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</si>
  <si>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</si>
  <si>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</si>
  <si>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</si>
  <si>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</si>
  <si>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</si>
  <si>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</si>
  <si>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</si>
  <si>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</si>
  <si>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</si>
  <si>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</si>
  <si>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</si>
  <si>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</si>
  <si>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</si>
  <si>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</si>
  <si>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</si>
  <si>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</si>
  <si>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</si>
  <si>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</si>
  <si>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</si>
  <si>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</si>
  <si>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</si>
  <si>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</si>
  <si>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</si>
  <si>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>School
System</t>
  </si>
  <si>
    <t>Total MFP
Allocation
- State Cost
Allocations to
Other Public Schools
+/- Adjustments
+ Total Level 4</t>
  </si>
  <si>
    <t>Local Revenue Representation Due to Other Public 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</si>
  <si>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</si>
  <si>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t>Office of
Juvenile
Justice
Table 5A3</t>
  </si>
  <si>
    <t>GEO Next
Generation
High
WBX001</t>
  </si>
  <si>
    <t>Williams
Scholar
Academy
3C4001</t>
  </si>
  <si>
    <t>St Landry
Charter
School
3C5001</t>
  </si>
  <si>
    <t>Total
Local Revenue
Representation
due to Other
Public Schools</t>
  </si>
  <si>
    <t>(T2, C55)</t>
  </si>
  <si>
    <t>(T5A3, C14)</t>
  </si>
  <si>
    <t>-(T5B2,
C36 + C41)</t>
  </si>
  <si>
    <t>-(T5C1A,
C36 + C39)</t>
  </si>
  <si>
    <t>-(T5C1B,
C36 + C39)</t>
  </si>
  <si>
    <t>-(T5C1C,
C36 + C39)</t>
  </si>
  <si>
    <t>-(T5C1D,
C36 + C39)</t>
  </si>
  <si>
    <t>-(T5C1E,
C36 + C39)</t>
  </si>
  <si>
    <t>-(T5C1F,
C36 + C39)</t>
  </si>
  <si>
    <t>-(T5C1G,
C36 + C39)</t>
  </si>
  <si>
    <t>-(T5C1H,
C36 + C39)</t>
  </si>
  <si>
    <t>-(T5C1I,
C36 + C39)</t>
  </si>
  <si>
    <t>-(T5C1J,
C36 + C39)</t>
  </si>
  <si>
    <t>-(T5C1M,
C36 + C39)</t>
  </si>
  <si>
    <t>-(T5C1N,
C36 + C39)</t>
  </si>
  <si>
    <t>-(T5C1O,
C36 + C39)</t>
  </si>
  <si>
    <t>-(T5C1Q,
C36 + C39)</t>
  </si>
  <si>
    <t>-(T5C1R,
C36 + C39)</t>
  </si>
  <si>
    <t>-(T5C1S,
C36 + C39)</t>
  </si>
  <si>
    <t>-(T5C1T,
C36 + C39)</t>
  </si>
  <si>
    <t>-(T5C1U,
C36 + C39)</t>
  </si>
  <si>
    <t>-(T5C1V,
C36 + C39)</t>
  </si>
  <si>
    <t>-(T5C1W,
C36 + C39)</t>
  </si>
  <si>
    <t>-(T5C1Y,
C36 + C39)</t>
  </si>
  <si>
    <t>-(T5C1Z,
C36 + C39)</t>
  </si>
  <si>
    <t>-(T5C1AE,
C36 + C39)</t>
  </si>
  <si>
    <t>-(T5C1AF,
C36 + C39)</t>
  </si>
  <si>
    <t>-(T5C1AG,
C36 + C39)</t>
  </si>
  <si>
    <t>-(T5C1AI,
C36 + C39)</t>
  </si>
  <si>
    <t>-(T5C1AJ,
C36 + C39)</t>
  </si>
  <si>
    <t>-(T5C1AK,
C36 + C39)</t>
  </si>
  <si>
    <t>-(T5C1AL,
C36 + C39)</t>
  </si>
  <si>
    <t>-(T5C1AM,
C36 + C39)</t>
  </si>
  <si>
    <t>-(T5C1AN,
C36 + C39)</t>
  </si>
  <si>
    <t>-(T5C2,
C36 + C39)</t>
  </si>
  <si>
    <t>-(T5C3,
C36 + C39)</t>
  </si>
  <si>
    <t>Sum(C2:C36)</t>
  </si>
  <si>
    <t>C1 + C37 OR
Sum(C1:C36)</t>
  </si>
  <si>
    <t>Monthly
Payment
Amount
Table 2</t>
  </si>
  <si>
    <t>Local Revenue Representation Due Monthly to Other Public Schools</t>
  </si>
  <si>
    <t>Total MFP
Payment
Amount minus
Local Revenue
Representation 
due to Other
Public Schools</t>
  </si>
  <si>
    <r>
      <rPr>
        <b/>
        <sz val="10"/>
        <color rgb="FFFF0000"/>
        <rFont val="Arial"/>
        <family val="2"/>
      </rPr>
      <t>July Only:</t>
    </r>
    <r>
      <rPr>
        <b/>
        <sz val="10"/>
        <color indexed="18"/>
        <rFont val="Arial"/>
        <family val="2"/>
      </rPr>
      <t xml:space="preserve">
Local Revenue
Representation
Admin. Fee
Payable to
Recovery
School District
(1.75%)</t>
    </r>
  </si>
  <si>
    <t>July Only: Local Revenue Representation Admin. Fee Payable to DOE (.25%)</t>
  </si>
  <si>
    <r>
      <rPr>
        <b/>
        <sz val="10"/>
        <color rgb="FFFF0000"/>
        <rFont val="Arial"/>
        <family val="2"/>
      </rPr>
      <t>July Only:</t>
    </r>
    <r>
      <rPr>
        <b/>
        <sz val="10"/>
        <color rgb="FF000080"/>
        <rFont val="Arial"/>
        <family val="2"/>
      </rPr>
      <t xml:space="preserve">
Local Revenue
Representation
Admin. Fee
Payable to DOE
(.25%)</t>
    </r>
  </si>
  <si>
    <t>July 2021
Payment
Amount</t>
  </si>
  <si>
    <t>Total
Local Revenue Representation
due monthly
to Other
Public Schools</t>
  </si>
  <si>
    <t>Recovery 
School 
District</t>
  </si>
  <si>
    <t>Noble
Minds
W18001</t>
  </si>
  <si>
    <t>(T2, C51)</t>
  </si>
  <si>
    <t>-(T5A3, C17)</t>
  </si>
  <si>
    <t>-(T5B2, C45)</t>
  </si>
  <si>
    <t>-(T5C1A, C43)</t>
  </si>
  <si>
    <t>-(T5C1B, C43)</t>
  </si>
  <si>
    <t>-(T5C1C, C43)</t>
  </si>
  <si>
    <t>-(T5C1D, C43)</t>
  </si>
  <si>
    <t>-(T5C1E, C43)</t>
  </si>
  <si>
    <t>-(T5C1F, C43)</t>
  </si>
  <si>
    <t>-(T5C1G, C43)</t>
  </si>
  <si>
    <t>-(T5C1H, C43)</t>
  </si>
  <si>
    <t>-(T5C1I, C43)</t>
  </si>
  <si>
    <t>-(T5C1J, C43)</t>
  </si>
  <si>
    <t>-(T5C1M, C43)</t>
  </si>
  <si>
    <t>-(T5C1N, C43)</t>
  </si>
  <si>
    <t>-(T5C1O, C43)</t>
  </si>
  <si>
    <t>-(T5C1Q, C43)</t>
  </si>
  <si>
    <t>-(T5C1R, C43)</t>
  </si>
  <si>
    <t>-(T5C1S, C43)</t>
  </si>
  <si>
    <t>-(T5C1T, C43)</t>
  </si>
  <si>
    <t>-(T5C1U, C43)</t>
  </si>
  <si>
    <t>-(T5C1V, C43)</t>
  </si>
  <si>
    <t>-(T5C1W, C43)</t>
  </si>
  <si>
    <t>-(T5C1Y, C43)</t>
  </si>
  <si>
    <t>-(T5C1Z, C43)</t>
  </si>
  <si>
    <t>-(T5C1AE, C43)</t>
  </si>
  <si>
    <t>-(T5C1AF, C43)</t>
  </si>
  <si>
    <t>-(T5C1AG, C43)</t>
  </si>
  <si>
    <t>-(T5C1AI, C43)</t>
  </si>
  <si>
    <t>-(T5C1AJ, C43)</t>
  </si>
  <si>
    <t>-(T5C1AK, C43)</t>
  </si>
  <si>
    <t>-(T5C1AL, C43)</t>
  </si>
  <si>
    <t>-(T5C1AM, C43)</t>
  </si>
  <si>
    <t>-(T5C1AN, C43)</t>
  </si>
  <si>
    <t>-(T5C2, C43)</t>
  </si>
  <si>
    <t>-(T5C3, C43)</t>
  </si>
  <si>
    <t>Sum (C2:C36)</t>
  </si>
  <si>
    <t>C1 + C37</t>
  </si>
  <si>
    <t>(T5B2, C37)</t>
  </si>
  <si>
    <t>(T5B2, C38)</t>
  </si>
  <si>
    <t>-(T5C1A, C48)</t>
  </si>
  <si>
    <t>-(T5C1B, C48)</t>
  </si>
  <si>
    <t>-(T5C1C, C48)</t>
  </si>
  <si>
    <t>-(T5C1D, C48)</t>
  </si>
  <si>
    <t>-(T5C1E, C48)</t>
  </si>
  <si>
    <t>-(T5C1F, C48)</t>
  </si>
  <si>
    <t>-(T5C1G, C48)</t>
  </si>
  <si>
    <t>-(T5C1H, C48)</t>
  </si>
  <si>
    <t>-(T5C1I, C48)</t>
  </si>
  <si>
    <t>-(T5C1J, C48)</t>
  </si>
  <si>
    <t>-(T5C1M, C48)</t>
  </si>
  <si>
    <t>-(T5C1N, C48)</t>
  </si>
  <si>
    <t>-(T5C1O, C48)</t>
  </si>
  <si>
    <t>-(T5C1Q, C48)</t>
  </si>
  <si>
    <t>-(T5C1R, C48)</t>
  </si>
  <si>
    <t>-(T5C1S, C48)</t>
  </si>
  <si>
    <t>-(T5C1T, C48)</t>
  </si>
  <si>
    <t>-(T5C1U, C48)</t>
  </si>
  <si>
    <t>-(T5C1V, C48)</t>
  </si>
  <si>
    <t>-(T5C1W, C48)</t>
  </si>
  <si>
    <t>-(T5C1Y, C48)</t>
  </si>
  <si>
    <t>-(T5C1Z, C48)</t>
  </si>
  <si>
    <t>-(T5C1AE, C48)</t>
  </si>
  <si>
    <t>-(T5C1AF, C48)</t>
  </si>
  <si>
    <t>-(T5C1AG, C48)</t>
  </si>
  <si>
    <t>-(T5C1AI, C48)</t>
  </si>
  <si>
    <t>-(T5C1AJ, C48)</t>
  </si>
  <si>
    <t>-(T5C1AK, C48)</t>
  </si>
  <si>
    <t>-(T5C1AL, C48)</t>
  </si>
  <si>
    <t>-(T5C1AM, C48)</t>
  </si>
  <si>
    <t>-(T5C1AN, C48)</t>
  </si>
  <si>
    <t>-(T5C2, C48)</t>
  </si>
  <si>
    <t>-(T5C3, C48)</t>
  </si>
  <si>
    <t>Sum (C40:C73)</t>
  </si>
  <si>
    <t>C38 + C39 + C74</t>
  </si>
  <si>
    <r>
      <t xml:space="preserve">MFP Funded
Membership
</t>
    </r>
    <r>
      <rPr>
        <sz val="10"/>
        <color indexed="18"/>
        <rFont val="Arial"/>
        <family val="2"/>
      </rPr>
      <t xml:space="preserve">
City/Parish
School Systems,
New Type 2
Charter Schools,
&amp; RSD/Type 5
Charter Schools</t>
    </r>
  </si>
  <si>
    <t>Without Continuation of Prior Year Pay Raises</t>
  </si>
  <si>
    <t>With Continuation of Prior Year Pay Raises</t>
  </si>
  <si>
    <t>Economically
Disadvantaged
(ED)</t>
  </si>
  <si>
    <t>Add-On
Student
Units</t>
  </si>
  <si>
    <t>Career &amp;
Technical
Education
Units
(CTE)</t>
  </si>
  <si>
    <t>Students
with
Disabilities
(SWD)</t>
  </si>
  <si>
    <t>Gifted and
Talented
Students
(GT)</t>
  </si>
  <si>
    <t>Economy-
of-Scale:
If &lt; 7,500,
then
7,500 less
February
Membership</t>
  </si>
  <si>
    <t>Economy-
of-Scale
Percent
Support</t>
  </si>
  <si>
    <t>Total
Weighted
Add-On
Student
Units</t>
  </si>
  <si>
    <t>Total
Weighted
Membership
and Units</t>
  </si>
  <si>
    <t>Per Pupil
Amount</t>
  </si>
  <si>
    <t>Total
Level 1
Costs</t>
  </si>
  <si>
    <r>
      <t xml:space="preserve">Local Cost
Allocation of
Level 1
</t>
    </r>
    <r>
      <rPr>
        <sz val="10"/>
        <color rgb="FF000080"/>
        <rFont val="Arial"/>
        <family val="2"/>
      </rPr>
      <t>(Deduction for
Property,
Sales, and
Other Revenues)</t>
    </r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</si>
  <si>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</si>
  <si>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t>State Cost
Allocation
of Level 1</t>
  </si>
  <si>
    <t>Percent
State Cost
Allocation</t>
  </si>
  <si>
    <t>Percent
Local Cost
Allocation</t>
  </si>
  <si>
    <t>Per Pupil
Local Cost
Allocation
of Level 1</t>
  </si>
  <si>
    <r>
      <t xml:space="preserve">Actual Sales
and Property
Tax Revenues
</t>
    </r>
    <r>
      <rPr>
        <sz val="10"/>
        <color indexed="18"/>
        <rFont val="Arial"/>
        <family val="2"/>
      </rPr>
      <t>(Including Debt)</t>
    </r>
    <r>
      <rPr>
        <b/>
        <sz val="10"/>
        <color indexed="18"/>
        <rFont val="Arial"/>
        <family val="2"/>
      </rPr>
      <t xml:space="preserve">
Plus Other
Revenue</t>
    </r>
  </si>
  <si>
    <t>Local Revenue
Over Level 1</t>
  </si>
  <si>
    <t>Local
Revenue
Under
Level 1</t>
  </si>
  <si>
    <t>Local
Revenue
Limit on
Level 2
State
Support</t>
  </si>
  <si>
    <t>Eligible
Local
Revenue
Level 2</t>
  </si>
  <si>
    <t>Local Cost
Allocation
of Level 2</t>
  </si>
  <si>
    <t>State Cost
Allocation
of Level 2</t>
  </si>
  <si>
    <t>Per
Pupil
Amount</t>
  </si>
  <si>
    <t>Percent
State</t>
  </si>
  <si>
    <t>Levels 1 &amp; 2
State Cost
Allocation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</si>
  <si>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</si>
  <si>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</si>
  <si>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>with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</si>
  <si>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
Continuation
of Prior Year
Pay Raises</t>
    </r>
  </si>
  <si>
    <r>
      <t xml:space="preserve">State Funds
</t>
    </r>
    <r>
      <rPr>
        <sz val="10"/>
        <color indexed="18"/>
        <rFont val="Arial"/>
        <family val="2"/>
      </rPr>
      <t>(With
Continuation
of Prior Year
Pay Raises)</t>
    </r>
    <r>
      <rPr>
        <b/>
        <sz val="10"/>
        <color indexed="18"/>
        <rFont val="Arial"/>
        <family val="2"/>
      </rPr>
      <t xml:space="preserve">
as Percent of
Total State
and Local</t>
    </r>
  </si>
  <si>
    <t>Rank</t>
  </si>
  <si>
    <t>Level 1 &amp;
Eligible
Level 2
Local Cost
Allocation</t>
  </si>
  <si>
    <t xml:space="preserve">Rank
</t>
  </si>
  <si>
    <t>Local
Revenue
as Percent
of Total
State and
Local</t>
  </si>
  <si>
    <r>
      <t xml:space="preserve">Total Level
1, 2, &amp; 3 State
Cost Allocation
</t>
    </r>
    <r>
      <rPr>
        <sz val="10"/>
        <color rgb="FF000080"/>
        <rFont val="Arial"/>
        <family val="2"/>
      </rPr>
      <t>(With Continuation
of Prior Year
Pay Raises)</t>
    </r>
    <r>
      <rPr>
        <b/>
        <sz val="10"/>
        <color rgb="FF000080"/>
        <rFont val="Arial"/>
        <family val="2"/>
      </rPr>
      <t xml:space="preserve">
and Local Cost
Allocation
Levels 1 and 2</t>
    </r>
  </si>
  <si>
    <t>Per SIS
2-1-21</t>
  </si>
  <si>
    <t>Per SIS
10-1-20</t>
  </si>
  <si>
    <t>Per SER
2-1-21</t>
  </si>
  <si>
    <t>(2a)</t>
  </si>
  <si>
    <t>(3a)</t>
  </si>
  <si>
    <t>(4a)</t>
  </si>
  <si>
    <t>(5a)</t>
  </si>
  <si>
    <t>(6a)</t>
  </si>
  <si>
    <t>(6b)</t>
  </si>
  <si>
    <t>11a</t>
  </si>
  <si>
    <t>Link to "Counts in Budget Letter"</t>
  </si>
  <si>
    <t>Resolution</t>
  </si>
  <si>
    <t>(T8, C34)</t>
  </si>
  <si>
    <t>Link to ED Tab in Student Count File</t>
  </si>
  <si>
    <t>C2a x 22%</t>
  </si>
  <si>
    <t>Link to CTE Tab in Student Count File</t>
  </si>
  <si>
    <t>C3a x 6%</t>
  </si>
  <si>
    <t>Link to SWD Tab in Student Count File</t>
  </si>
  <si>
    <t>C4a x 150%</t>
  </si>
  <si>
    <t>Link to GT Tab in Student Count File</t>
  </si>
  <si>
    <t>C5a x 60%</t>
  </si>
  <si>
    <t>If C1 &lt; 7,500,
7,500 - C1, 0</t>
  </si>
  <si>
    <t>C6a ÷ 37,500</t>
  </si>
  <si>
    <t>C1 x C6b</t>
  </si>
  <si>
    <t>C2 + C3 +
C4 + C5 + C6</t>
  </si>
  <si>
    <t>C1 + C7</t>
  </si>
  <si>
    <t>C8 x C9</t>
  </si>
  <si>
    <t>(T6, C8)</t>
  </si>
  <si>
    <t>If C11 &gt; C10 x 75%,
C10 x 75%, C11</t>
  </si>
  <si>
    <t>C10 - C11a</t>
  </si>
  <si>
    <t>C12 ÷ C10</t>
  </si>
  <si>
    <t>C11a ÷ C10</t>
  </si>
  <si>
    <t>C11a ÷ C1</t>
  </si>
  <si>
    <t>(T7, C40)</t>
  </si>
  <si>
    <t>If C16 - C11a &gt; 0,
C16 - C11a, 0</t>
  </si>
  <si>
    <t>If C16 - C11a &lt; 0, C16 - C11a, 0</t>
  </si>
  <si>
    <t>C10 x 34%</t>
  </si>
  <si>
    <t>Lesser of
C17 and C19</t>
  </si>
  <si>
    <t>If C20 &gt; 0, C20 x C14 x 1.72, 0</t>
  </si>
  <si>
    <t>If C20 - C21 &gt; 0,
C20 - C21, 0</t>
  </si>
  <si>
    <t>C22 ÷ C1</t>
  </si>
  <si>
    <t>C22 ÷ C20</t>
  </si>
  <si>
    <t>C12 + C22</t>
  </si>
  <si>
    <t>C25 ÷ C1</t>
  </si>
  <si>
    <t>(T3A, C8)</t>
  </si>
  <si>
    <t>C27 ÷ C1</t>
  </si>
  <si>
    <t>C25 + C27</t>
  </si>
  <si>
    <t>C29 ÷ C1</t>
  </si>
  <si>
    <t>(T3A, C9)</t>
  </si>
  <si>
    <t>C31 ÷ C1</t>
  </si>
  <si>
    <t>C25 + C31</t>
  </si>
  <si>
    <t>C33 ÷ C1</t>
  </si>
  <si>
    <t>C33 ÷ C41</t>
  </si>
  <si>
    <t>Rank High
to Low</t>
  </si>
  <si>
    <t>C11a + C20</t>
  </si>
  <si>
    <t>C37 ÷ C1</t>
  </si>
  <si>
    <t>C37 ÷ C41</t>
  </si>
  <si>
    <t>C33 + C37</t>
  </si>
  <si>
    <t>C41 ÷ C1</t>
  </si>
  <si>
    <t>STATE TOTAL</t>
  </si>
  <si>
    <t>deduct TIF in Livingston</t>
  </si>
  <si>
    <t>Continuation of Prior
Year Pay Raises</t>
  </si>
  <si>
    <t>Historical Formula Allocation</t>
  </si>
  <si>
    <t>Mandated Cost
Adjustment</t>
  </si>
  <si>
    <r>
      <t xml:space="preserve">Total
Level 3
State Cost
Allocation
</t>
    </r>
    <r>
      <rPr>
        <sz val="10"/>
        <color indexed="18"/>
        <rFont val="Arial"/>
        <family val="2"/>
      </rPr>
      <t>(Without
Continuation
of Prior Year
Pay Raises)</t>
    </r>
  </si>
  <si>
    <r>
      <t xml:space="preserve">Total
Level 3
State Cost
Allocation
</t>
    </r>
    <r>
      <rPr>
        <sz val="10"/>
        <color indexed="18"/>
        <rFont val="Arial"/>
        <family val="2"/>
      </rPr>
      <t>(With
Continuation
of Prior Year
Pay Raises)</t>
    </r>
  </si>
  <si>
    <t>Continuation
of Prior Year
Pay Raises
Per Pupil
Amount</t>
  </si>
  <si>
    <r>
      <t xml:space="preserve">Continuation
of Prior Year
Pay Raises
</t>
    </r>
    <r>
      <rPr>
        <sz val="10"/>
        <color indexed="18"/>
        <rFont val="Arial"/>
        <family val="2"/>
      </rPr>
      <t>(City/Parish
School Systems,
New Type 2
Charter Schools,
&amp; RSD/Type 5
Charter Schools)</t>
    </r>
  </si>
  <si>
    <t>Pay Raise &amp;
Insurance
Supplement
Amounts
from Prior
Years</t>
  </si>
  <si>
    <t>Feb. 1, 2021
MFP Funded
Membership</t>
  </si>
  <si>
    <t>Redistribution
Allocation
$38,456,219</t>
  </si>
  <si>
    <t>Increase
Cost
Adjustment</t>
  </si>
  <si>
    <t>Values</t>
  </si>
  <si>
    <t>Per Pupil (I3)
C5 ÷ C6</t>
  </si>
  <si>
    <t>Per Pupil (K3)
Resolution</t>
  </si>
  <si>
    <t>Historical Data</t>
  </si>
  <si>
    <t>C1 x (T3, C1)</t>
  </si>
  <si>
    <t>(T3, C1)</t>
  </si>
  <si>
    <t>C4 x $71.36</t>
  </si>
  <si>
    <t>C6 x $100</t>
  </si>
  <si>
    <t>C3 + C5 + C7</t>
  </si>
  <si>
    <t>C2 + C3 + C5 + C7</t>
  </si>
  <si>
    <t>International Language Associate Salary Allocation</t>
  </si>
  <si>
    <r>
      <t xml:space="preserve">International Language Associate Stipend Allocation
</t>
    </r>
    <r>
      <rPr>
        <sz val="11"/>
        <color rgb="FF000080"/>
        <rFont val="Arial"/>
        <family val="2"/>
      </rPr>
      <t>Includes Escadrille Louisiane Graduates</t>
    </r>
  </si>
  <si>
    <t>Career Development Fund (CDF)</t>
  </si>
  <si>
    <r>
      <t xml:space="preserve">High Cost
Services
Allocation
</t>
    </r>
    <r>
      <rPr>
        <sz val="10"/>
        <color rgb="FFFF0000"/>
        <rFont val="Arial"/>
        <family val="2"/>
      </rPr>
      <t>(Pending FY2021-22 Allocations)</t>
    </r>
  </si>
  <si>
    <t>Supplemental Course Allocation (SCA)</t>
  </si>
  <si>
    <t>FY2019-20 Certificated and Non-Certificated Pay Raise</t>
  </si>
  <si>
    <t>FY2021-22 Certificated and Non-Certificated Pay Raise</t>
  </si>
  <si>
    <t>Total
Level 4</t>
  </si>
  <si>
    <r>
      <t xml:space="preserve">Qualifying
Teachers
As of 2.1.21
</t>
    </r>
    <r>
      <rPr>
        <sz val="10"/>
        <color indexed="18"/>
        <rFont val="Arial"/>
        <family val="2"/>
      </rPr>
      <t>(Includes
Escadrille)</t>
    </r>
  </si>
  <si>
    <t>Total Salary
Allocation</t>
  </si>
  <si>
    <r>
      <t xml:space="preserve">Qualifying
First Year
Teachers
</t>
    </r>
    <r>
      <rPr>
        <sz val="10"/>
        <color rgb="FFFF0000"/>
        <rFont val="Arial"/>
        <family val="2"/>
      </rPr>
      <t>(Pending August 2021 Data)</t>
    </r>
  </si>
  <si>
    <t>First Year
Teacher
Stipends</t>
  </si>
  <si>
    <r>
      <t>Qualifying
Second and
Third Year
Teachers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(Pending April 2022 Data)</t>
    </r>
  </si>
  <si>
    <t>Second &amp;
Third Year
Teacher
Stipends</t>
  </si>
  <si>
    <t>Total
Stipend
Allocation</t>
  </si>
  <si>
    <r>
      <t xml:space="preserve">Number of
Qualifying
Courses
</t>
    </r>
    <r>
      <rPr>
        <sz val="10"/>
        <color rgb="FFFF0000"/>
        <rFont val="Arial"/>
        <family val="2"/>
      </rPr>
      <t>(Initial Pending January 2022 Data)</t>
    </r>
  </si>
  <si>
    <t>Allocation
Based on
75% of
FY2020-21
or
Minimum</t>
  </si>
  <si>
    <r>
      <t xml:space="preserve">Grades
7 - 12
</t>
    </r>
    <r>
      <rPr>
        <sz val="10"/>
        <color indexed="18"/>
        <rFont val="Arial"/>
        <family val="2"/>
      </rPr>
      <t>2.1.21 SIS</t>
    </r>
  </si>
  <si>
    <t>Initial
Funding
for SCA</t>
  </si>
  <si>
    <r>
      <t>Reallocation
of Unused
SCA Funds</t>
    </r>
    <r>
      <rPr>
        <sz val="10"/>
        <color indexed="18"/>
        <rFont val="Arial"/>
        <family val="2"/>
      </rPr>
      <t xml:space="preserve">
</t>
    </r>
    <r>
      <rPr>
        <sz val="10"/>
        <color rgb="FFFF0000"/>
        <rFont val="Arial"/>
        <family val="2"/>
      </rPr>
      <t>(Pending
May 2022
Data)</t>
    </r>
  </si>
  <si>
    <r>
      <t xml:space="preserve">Certificated
Staff
FTE Count
</t>
    </r>
    <r>
      <rPr>
        <sz val="10"/>
        <color rgb="FFFF0000"/>
        <rFont val="Arial"/>
        <family val="2"/>
      </rPr>
      <t>(Placeholder
Pending Oct.
2021 Data)</t>
    </r>
  </si>
  <si>
    <t>Pay Raise Amount</t>
  </si>
  <si>
    <t>Retirement Allocation</t>
  </si>
  <si>
    <t xml:space="preserve">
Total 
Cost</t>
  </si>
  <si>
    <r>
      <t xml:space="preserve">Non-Certificated Staff
FTE Count
</t>
    </r>
    <r>
      <rPr>
        <sz val="10"/>
        <color rgb="FFFF0000"/>
        <rFont val="Arial"/>
        <family val="2"/>
      </rPr>
      <t>(Placeholder
Pending Oct.
2021 Data)</t>
    </r>
  </si>
  <si>
    <t>Total Staff
FTE Count</t>
  </si>
  <si>
    <t>Total 
Pay Raise
Cost</t>
  </si>
  <si>
    <t xml:space="preserve">Total Retirement Cost </t>
  </si>
  <si>
    <t>Grand Total</t>
  </si>
  <si>
    <t>Oct. 2020</t>
  </si>
  <si>
    <t>Input</t>
  </si>
  <si>
    <t>Per Pupil ($E$3)
Resolution</t>
  </si>
  <si>
    <t>Per Pupil ($G$3)
Resolution</t>
  </si>
  <si>
    <t>Per Pupil ($I$3)
Resolution</t>
  </si>
  <si>
    <t>Per Pupil ($L$3)
Resolution</t>
  </si>
  <si>
    <t>SIS Multistats</t>
  </si>
  <si>
    <t>Per Pupil ($O$3)
Resolution</t>
  </si>
  <si>
    <t>Prior Year
Feb. 1 Count</t>
  </si>
  <si>
    <t>C1 x $21,000</t>
  </si>
  <si>
    <t>August</t>
  </si>
  <si>
    <t>C3 x $6,000</t>
  </si>
  <si>
    <t>April</t>
  </si>
  <si>
    <t>C5 x $4,000</t>
  </si>
  <si>
    <t>C4 + C6</t>
  </si>
  <si>
    <t>January</t>
  </si>
  <si>
    <t>75% of Prior Year Or Min.</t>
  </si>
  <si>
    <t>HCS
Allocation</t>
  </si>
  <si>
    <t>C11 x $59</t>
  </si>
  <si>
    <t>May</t>
  </si>
  <si>
    <t>C12 + C13</t>
  </si>
  <si>
    <t>Certificated FTE</t>
  </si>
  <si>
    <t>C15 x $1,000</t>
  </si>
  <si>
    <t>C16 x 25.2%</t>
  </si>
  <si>
    <t>C16 + C17</t>
  </si>
  <si>
    <t>Non-Certificated FTE</t>
  </si>
  <si>
    <t>C19 x $500</t>
  </si>
  <si>
    <t>C20 x 28.7%</t>
  </si>
  <si>
    <t>C20 + C21</t>
  </si>
  <si>
    <t>C15 + C19</t>
  </si>
  <si>
    <t>C16 + C20</t>
  </si>
  <si>
    <t>C17 + C21</t>
  </si>
  <si>
    <t>C18 + C22</t>
  </si>
  <si>
    <t>C27 x $800</t>
  </si>
  <si>
    <t>C28 x 25.2%</t>
  </si>
  <si>
    <t>C28 + C29</t>
  </si>
  <si>
    <t>C31 x $400</t>
  </si>
  <si>
    <t>C32 x 28.7%</t>
  </si>
  <si>
    <t>C32 + C33</t>
  </si>
  <si>
    <t>C27 + C31</t>
  </si>
  <si>
    <t>C28 + C32</t>
  </si>
  <si>
    <t>C29 + C33</t>
  </si>
  <si>
    <t>C30 + C34</t>
  </si>
  <si>
    <t>C2 + C7 + C9 + C10
+ C14 + C26 + C38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</si>
  <si>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</si>
  <si>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</si>
  <si>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</si>
  <si>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</si>
  <si>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</si>
  <si>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</si>
  <si>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Thrive</t>
  </si>
  <si>
    <t>A02</t>
  </si>
  <si>
    <t>Office of Juvenile Justice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</si>
  <si>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</si>
  <si>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</si>
  <si>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</si>
  <si>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</si>
  <si>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</si>
  <si>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</si>
  <si>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</si>
  <si>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</si>
  <si>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</si>
  <si>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</si>
  <si>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</si>
  <si>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</si>
  <si>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</si>
  <si>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</si>
  <si>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</si>
  <si>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</si>
  <si>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3C4001</t>
  </si>
  <si>
    <t>Williams Scholar Academy</t>
  </si>
  <si>
    <t>3C5001</t>
  </si>
  <si>
    <t>St Landry Charter School</t>
  </si>
  <si>
    <t>W18001</t>
  </si>
  <si>
    <t>Noble Minds Institute</t>
  </si>
  <si>
    <t>W1A001</t>
  </si>
  <si>
    <t>JCFA - East</t>
  </si>
  <si>
    <t>W1B001</t>
  </si>
  <si>
    <t>Advantage Charter Academy</t>
  </si>
  <si>
    <t>W1D001</t>
  </si>
  <si>
    <t>JCFA - Lafayette</t>
  </si>
  <si>
    <t>W2B001</t>
  </si>
  <si>
    <t>Willow Charter Academy</t>
  </si>
  <si>
    <t>W33001</t>
  </si>
  <si>
    <t>Lincoln Prep School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</si>
  <si>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</si>
  <si>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</si>
  <si>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</si>
  <si>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</si>
  <si>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</si>
  <si>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</si>
  <si>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</si>
  <si>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</si>
  <si>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</si>
  <si>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</si>
  <si>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</si>
  <si>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</si>
  <si>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</si>
  <si>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</si>
  <si>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</si>
  <si>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</si>
  <si>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</si>
  <si>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</si>
  <si>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</si>
  <si>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</si>
  <si>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</si>
  <si>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</si>
  <si>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WAU001</t>
  </si>
  <si>
    <t>GEO Prep Academy</t>
  </si>
  <si>
    <t>WBQ001</t>
  </si>
  <si>
    <t>New Harmony High School</t>
  </si>
  <si>
    <t>WBR001</t>
  </si>
  <si>
    <t>Athlos Academy</t>
  </si>
  <si>
    <t>WBX001</t>
  </si>
  <si>
    <t xml:space="preserve">GEO Next Generation HS </t>
  </si>
  <si>
    <t>WBY001</t>
  </si>
  <si>
    <t>Red River Charter Academy</t>
  </si>
  <si>
    <t>WJ5001</t>
  </si>
  <si>
    <t>Collegiate Academy (EBR)</t>
  </si>
  <si>
    <t>WZ8001</t>
  </si>
  <si>
    <t>GEO Prep Mid-City of Greater B. R.</t>
  </si>
  <si>
    <t>Total New Type 2 Charter Schools</t>
  </si>
  <si>
    <t>Linwood Public Charter (RSD Operated)</t>
  </si>
  <si>
    <t>WA7001</t>
  </si>
  <si>
    <t>Capitol High School (RSD Operated)</t>
  </si>
  <si>
    <t>WAO001</t>
  </si>
  <si>
    <t>3AP003</t>
  </si>
  <si>
    <t>Redesign Dalton Charter School</t>
  </si>
  <si>
    <t>WAP001</t>
  </si>
  <si>
    <t>3AP001</t>
  </si>
  <si>
    <t>Redesign Lanier Charter School</t>
  </si>
  <si>
    <t>WAV001</t>
  </si>
  <si>
    <t>Democracy Prep</t>
  </si>
  <si>
    <t>WB2001</t>
  </si>
  <si>
    <t>Kenilworth Science and Tech</t>
  </si>
  <si>
    <t>WYA001</t>
  </si>
  <si>
    <t>3AP004</t>
  </si>
  <si>
    <t>Redesign Glen Oaks</t>
  </si>
  <si>
    <t>Total RSD/Type 5 Charters</t>
  </si>
  <si>
    <t>Total Statewide</t>
  </si>
  <si>
    <t>Table 5A1
Lab Schools</t>
  </si>
  <si>
    <t>MFP State Cost Allocation</t>
  </si>
  <si>
    <r>
      <t xml:space="preserve">Feb. 1, 2021
MFP Funded
Membership
</t>
    </r>
    <r>
      <rPr>
        <sz val="10"/>
        <color indexed="18"/>
        <rFont val="Arial"/>
        <family val="2"/>
      </rPr>
      <t>(Per SIS)</t>
    </r>
  </si>
  <si>
    <r>
      <t xml:space="preserve">MFP State
Cost Allocation
Average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</si>
  <si>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MFP
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</si>
  <si>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Continuation
of Prior Year
Pay Raises
Per Pupil</t>
  </si>
  <si>
    <t>Continuation
of Prior Year
Pay Raises</t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</si>
  <si>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</si>
  <si>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State Cost
Allocation
+/- Mid-Year
Adjustments</t>
  </si>
  <si>
    <r>
      <t xml:space="preserve">Prior Years
MFP Audit
Adjustments
</t>
    </r>
    <r>
      <rPr>
        <sz val="10"/>
        <color indexed="18"/>
        <rFont val="Arial"/>
        <family val="2"/>
      </rPr>
      <t>(Includes
FY2019-20 and
FY2020-21)</t>
    </r>
  </si>
  <si>
    <t>Total MFP
State Cost
Allocation
+/- Mid-Year
Adjustments
+/- Audit
Adjustments</t>
  </si>
  <si>
    <t>Total MFP
State Cost
Allocation
+/- Mid-Year Adjs
+/- Audit Adjs
+ Monthly
Level 4</t>
  </si>
  <si>
    <t>Year To
Date
State
Payments</t>
  </si>
  <si>
    <t>Balance
Due</t>
  </si>
  <si>
    <t>Monthly
Payment</t>
  </si>
  <si>
    <t>Total MFP State Cost Allocation
+/- Mid-Year Adjs
+/- Audit Adjs
+ Total Level 4</t>
  </si>
  <si>
    <t>Link to Mid-Year File</t>
  </si>
  <si>
    <t>Link to Prior Month File</t>
  </si>
  <si>
    <t>(T8, C42)
(T8, C43)</t>
  </si>
  <si>
    <t>(T9, C15,
State Average)</t>
  </si>
  <si>
    <t>C1 x C2</t>
  </si>
  <si>
    <t>C1 x C4</t>
  </si>
  <si>
    <t>C3 + C5</t>
  </si>
  <si>
    <t>Link to October Tab
in Mid-Year File</t>
  </si>
  <si>
    <t>Link to February Tab
in Mid-Year File</t>
  </si>
  <si>
    <t>C7 + C8</t>
  </si>
  <si>
    <t>C6 + C9</t>
  </si>
  <si>
    <t>C10 + C11</t>
  </si>
  <si>
    <t>Sum (C12:C16)</t>
  </si>
  <si>
    <t>Prior Month File:
(T5A1, C18 + C20)</t>
  </si>
  <si>
    <t>C17 - C18</t>
  </si>
  <si>
    <r>
      <t xml:space="preserve">C19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Months Remaining</t>
    </r>
  </si>
  <si>
    <t>C17 + C21 + C22 + C23</t>
  </si>
  <si>
    <t>Louisiana State
University Lab School</t>
  </si>
  <si>
    <t>Southern University
Lab School</t>
  </si>
  <si>
    <t xml:space="preserve">TOTAL </t>
  </si>
  <si>
    <t>Table 5A2
Legacy Type 2
Charter Schools</t>
  </si>
  <si>
    <r>
      <t xml:space="preserve">Feb. 1, 2021
MFP Funded
Membership
</t>
    </r>
    <r>
      <rPr>
        <sz val="10"/>
        <color indexed="18"/>
        <rFont val="Arial"/>
        <family val="2"/>
      </rPr>
      <t>(Per SIS)</t>
    </r>
  </si>
  <si>
    <r>
      <t xml:space="preserve">Unweighted Legacy Type 2 Charter School
</t>
    </r>
    <r>
      <rPr>
        <sz val="10"/>
        <color indexed="18"/>
        <rFont val="Arial"/>
        <family val="2"/>
      </rPr>
      <t>(Includes Initial Local Revenue
Representation</t>
    </r>
    <r>
      <rPr>
        <sz val="10"/>
        <color indexed="18"/>
        <rFont val="Arial"/>
        <family val="2"/>
      </rPr>
      <t>)</t>
    </r>
  </si>
  <si>
    <t>Economically Disadvantaged (ED)</t>
  </si>
  <si>
    <t>Career &amp; Technical Units (CTE)</t>
  </si>
  <si>
    <t>Students with Disabilities (SWD)</t>
  </si>
  <si>
    <t>Gifted &amp; Talented (GT)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</si>
  <si>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</si>
  <si>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State
Admin Fee
to the
Dept. of
Education
0.25%</t>
  </si>
  <si>
    <t>Total MFP
State Cost
Allocation
+/- Mid-Year
Adjustments
- Admin Fee</t>
  </si>
  <si>
    <r>
      <t xml:space="preserve">Prior Years
MFP Audit
Adjustments
</t>
    </r>
    <r>
      <rPr>
        <sz val="10"/>
        <color indexed="18"/>
        <rFont val="Arial"/>
        <family val="2"/>
      </rPr>
      <t>(Includes
FY2019-20
and
FY2020-21)</t>
    </r>
  </si>
  <si>
    <t>Level 4
Monthly
Funds</t>
  </si>
  <si>
    <t>Total MFP
State Cost
Allocation
+/- Mid-Year
Adjustments
- Admin Fee
+/- Audit Adj.
+ Monthly
Level 4</t>
  </si>
  <si>
    <t xml:space="preserve">State Cost
Allocation
Monthly
Payment
</t>
  </si>
  <si>
    <t>Level 4
Annual</t>
  </si>
  <si>
    <t>Total MFP
State Cost
Allocation
+/- Mid-Year
Adjustments
- Admin Fee
+/- Audit Adj.
+ Total Level 4</t>
  </si>
  <si>
    <t>Per Pupil</t>
  </si>
  <si>
    <t>Unweighted
State Cost
Allocation
Without
Continuation
of Prior Year
Pay Raises</t>
  </si>
  <si>
    <t>Continuation
of Prior Year
Pay Raises
State Cost
Allocation</t>
  </si>
  <si>
    <r>
      <t xml:space="preserve">Student Count
</t>
    </r>
    <r>
      <rPr>
        <sz val="10"/>
        <color indexed="18"/>
        <rFont val="Arial"/>
        <family val="2"/>
      </rPr>
      <t>(Per SIS
2-1-21)</t>
    </r>
  </si>
  <si>
    <t>State Cost
Allocation</t>
  </si>
  <si>
    <r>
      <t xml:space="preserve">Student Count
</t>
    </r>
    <r>
      <rPr>
        <sz val="10"/>
        <color indexed="18"/>
        <rFont val="Arial"/>
        <family val="2"/>
      </rPr>
      <t>(Per SIS
10-1-20)</t>
    </r>
  </si>
  <si>
    <r>
      <t xml:space="preserve">Student Count
</t>
    </r>
    <r>
      <rPr>
        <sz val="10"/>
        <color indexed="18"/>
        <rFont val="Arial"/>
        <family val="2"/>
      </rPr>
      <t>(Per SER
2-1-21)</t>
    </r>
  </si>
  <si>
    <t>(26a)</t>
  </si>
  <si>
    <t>(30a)</t>
  </si>
  <si>
    <t>T8</t>
  </si>
  <si>
    <t>T9, C13</t>
  </si>
  <si>
    <t>Link to ED
Tab in
Student
Count File</t>
  </si>
  <si>
    <t>T9, C7</t>
  </si>
  <si>
    <t>C6 x C7</t>
  </si>
  <si>
    <t>Link to CTE
Tab in
Student
Count File</t>
  </si>
  <si>
    <t>T9, C8</t>
  </si>
  <si>
    <t>C9 x C10</t>
  </si>
  <si>
    <t>Link to SWD
Tab in
Student
Count File</t>
  </si>
  <si>
    <t>T9, C9</t>
  </si>
  <si>
    <t>C12 x C13</t>
  </si>
  <si>
    <t>Link to GT
Tab in
Student
Count File</t>
  </si>
  <si>
    <t>T9, C10</t>
  </si>
  <si>
    <t>C15 x C16</t>
  </si>
  <si>
    <t>C3 + C5 + C8 + C11 + C14 + C17</t>
  </si>
  <si>
    <t>C19 + C20</t>
  </si>
  <si>
    <t>C18 + C21</t>
  </si>
  <si>
    <t>C22 x -.25%</t>
  </si>
  <si>
    <t>C22 + C23</t>
  </si>
  <si>
    <t>(T4, C2 + C14 + C26 + C38)</t>
  </si>
  <si>
    <t>C24 + C25 + C26a</t>
  </si>
  <si>
    <t>Prior Month File: (T5A2, C27 + C29)</t>
  </si>
  <si>
    <t>C26 - C27</t>
  </si>
  <si>
    <t>C28 ÷ Months Remaining</t>
  </si>
  <si>
    <t>(T4, C7 + C9 + C10)</t>
  </si>
  <si>
    <t>C26 + C30a</t>
  </si>
  <si>
    <t>Avoyelles Public Charter</t>
  </si>
  <si>
    <t>The MAX</t>
  </si>
  <si>
    <t>State Total</t>
  </si>
  <si>
    <t>Table 5A3
Office of Juvenile
Justice (OJJ)</t>
  </si>
  <si>
    <r>
      <t xml:space="preserve">MFP State Cost Allocation for Youth in Secure Care
</t>
    </r>
    <r>
      <rPr>
        <b/>
        <sz val="10"/>
        <color indexed="18"/>
        <rFont val="Arial"/>
        <family val="2"/>
      </rPr>
      <t xml:space="preserve">Based on FY2020-21 Average Daily Membership (ADM) </t>
    </r>
    <r>
      <rPr>
        <b/>
        <sz val="10"/>
        <color rgb="FFFF0000"/>
        <rFont val="Arial"/>
        <family val="2"/>
      </rPr>
      <t>Preliminary</t>
    </r>
  </si>
  <si>
    <t>MFP Local Revenue Representation 
for Youth in Secure Care</t>
  </si>
  <si>
    <r>
      <t xml:space="preserve">ADM for
Youth in
Secure
Care
</t>
    </r>
    <r>
      <rPr>
        <sz val="10"/>
        <color rgb="FFFF0000"/>
        <rFont val="Arial"/>
        <family val="2"/>
      </rPr>
      <t>Preliminary</t>
    </r>
  </si>
  <si>
    <r>
      <t>Levels 1, 2, &amp; 3
State Cost
Allocation
Per Pupil</t>
    </r>
    <r>
      <rPr>
        <sz val="10"/>
        <color indexed="18"/>
        <rFont val="Arial"/>
        <family val="2"/>
      </rPr>
      <t xml:space="preserve">
(With
Continuation
of Prior Year
Pay Raises)</t>
    </r>
  </si>
  <si>
    <t>Per Pupil
Amount
Adjusted for
Year Round
School</t>
  </si>
  <si>
    <t>Per Pupil
Amount
Adjusted for
Year Round
School &amp; 50%
Special Ed</t>
  </si>
  <si>
    <t>Total
State Cost
Allocation
+ Monthly Level 4</t>
  </si>
  <si>
    <t>Total
State Cost
Allocation
+ Total
Level 4
Funds</t>
  </si>
  <si>
    <t>Levels 1 and 2
Local Revenue
Representation</t>
  </si>
  <si>
    <t>Feb. 1, 2021
MFP
Funded
Membership</t>
  </si>
  <si>
    <t>Feb. 1, 2021
MFP
Funded
Membership
+ OJJ ADM</t>
  </si>
  <si>
    <t>Adjusted
Local
Revenue
Representation
Per Pupil
including
OJJ</t>
  </si>
  <si>
    <t>Total Local
Revenue
Representation
 for OJJ
Secure Care
Students</t>
  </si>
  <si>
    <t>Year To
Date
Payments</t>
  </si>
  <si>
    <t xml:space="preserve">Local
Revenue
Representation
Monthly
Payment
</t>
  </si>
  <si>
    <t>Link to OJJ ADM</t>
  </si>
  <si>
    <t>T4, C2; T4, C14</t>
  </si>
  <si>
    <t>Link to Prior Month</t>
  </si>
  <si>
    <t>T4, C7; T4, C9; T4, C10</t>
  </si>
  <si>
    <t>Link to OJJ Tab in Student Count File</t>
  </si>
  <si>
    <t>T3, C34</t>
  </si>
  <si>
    <t>C2 x 131.64%</t>
  </si>
  <si>
    <t>C3 + $1,470</t>
  </si>
  <si>
    <t>C1 x C4
(T4, C2; C14;
C26; C38)</t>
  </si>
  <si>
    <t>Prior Month File: (T5A3,
C6 + C8)</t>
  </si>
  <si>
    <t>C5 - C6</t>
  </si>
  <si>
    <t>C7 ÷ Months Remaining</t>
  </si>
  <si>
    <t>C5; (T4, C2; C7;
C9; C10; C14;
C26; C38)</t>
  </si>
  <si>
    <t>T3, C37</t>
  </si>
  <si>
    <t>T3, C1</t>
  </si>
  <si>
    <t>C1 + C11</t>
  </si>
  <si>
    <r>
      <t xml:space="preserve">C10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C12</t>
    </r>
  </si>
  <si>
    <t>C1 x C13</t>
  </si>
  <si>
    <t>Prior Month File: (T5A3,
C15 + C17)</t>
  </si>
  <si>
    <t>C14 - C15</t>
  </si>
  <si>
    <t>C16 ÷ Months Remaining</t>
  </si>
  <si>
    <t>State Subtotal</t>
  </si>
  <si>
    <t>Level 4 Allocations</t>
  </si>
  <si>
    <t>Int'l Assoc/Escadrille Salaries</t>
  </si>
  <si>
    <t>Int'l Assoc/Escadrille Stipends</t>
  </si>
  <si>
    <t>Career Development Fund</t>
  </si>
  <si>
    <t>High Cost Services Allocation</t>
  </si>
  <si>
    <t>Supplemental Course Allocation</t>
  </si>
  <si>
    <t>FY2019-20 Pay Raise</t>
  </si>
  <si>
    <t>FY2021-22 Pay Raise</t>
  </si>
  <si>
    <t>State Grand Total With Level 4</t>
  </si>
  <si>
    <t>N/A</t>
  </si>
  <si>
    <r>
      <rPr>
        <b/>
        <sz val="18"/>
        <color indexed="18"/>
        <rFont val="Arial"/>
        <family val="2"/>
      </rPr>
      <t>Table 5A4
New Orleans
Center for
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</si>
  <si>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</si>
  <si>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</si>
  <si>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State Cost &amp;
Local Cost
Allocation
+/- Mid-Year
Adjustments</t>
  </si>
  <si>
    <t>Total MFP
State Cost &amp;
Local Cost
Allocation
+/- Mid-Year Adjs
+/- Audit Adjs
+ Monthly Level 4</t>
  </si>
  <si>
    <t>Total MFP
State Cost &amp;
Local Cost
Allocation
+/- Mid-Year Adjs
+/- Audit Adjs
+ Total Level 4</t>
  </si>
  <si>
    <t>Link to Prior Month,</t>
  </si>
  <si>
    <t>T8, C45</t>
  </si>
  <si>
    <t>T9, C17</t>
  </si>
  <si>
    <t>C3 + C6</t>
  </si>
  <si>
    <t>C7 + C8;
(T4, C2; C14; C26; C38)</t>
  </si>
  <si>
    <t>Prior Month File: (T5A4, C10 + C12)</t>
  </si>
  <si>
    <t>C9 - C10</t>
  </si>
  <si>
    <r>
      <t xml:space="preserve">C11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Remaining Months</t>
    </r>
  </si>
  <si>
    <t>C9; (T4, C2; C7; C9;
C10; C14; C26; C38)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</si>
  <si>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</si>
  <si>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t xml:space="preserve">State Cost &amp;
Local Cost
Allocation
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</si>
  <si>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State Cost &amp;
Local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</si>
  <si>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T8, C44</t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</si>
  <si>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</si>
  <si>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T8, C46</t>
  </si>
  <si>
    <r>
      <t xml:space="preserve">Table 5B2
RSD Operated
&amp; Type 5
Charter Schools
</t>
    </r>
    <r>
      <rPr>
        <sz val="12"/>
        <color indexed="18"/>
        <rFont val="Arial"/>
        <family val="2"/>
      </rPr>
      <t>(In Caddo Parish &amp;
East Baton Rouge Parish)</t>
    </r>
  </si>
  <si>
    <t>Local Revenue Representation</t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</si>
  <si>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</si>
  <si>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</si>
  <si>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t>State
Admin
Fee
to RSD
1.75%</t>
  </si>
  <si>
    <t>State Admin
Fee to the
Dept. of
Education
.25%</t>
  </si>
  <si>
    <t>Total State
Admin Fee</t>
  </si>
  <si>
    <t>Total MFP
State Cost
Allocation
+/- Mid-Year
Adjustments
- Admin Fee
+/- Audit
Adjustments</t>
  </si>
  <si>
    <r>
      <t>Salaries for
International
Associate/
Escadrille
Teachers</t>
    </r>
    <r>
      <rPr>
        <b/>
        <sz val="10"/>
        <color rgb="FFFF0000"/>
        <rFont val="Arial"/>
        <family val="2"/>
      </rPr>
      <t/>
    </r>
  </si>
  <si>
    <r>
      <t xml:space="preserve">Supplemental
Course
Allocation
</t>
    </r>
    <r>
      <rPr>
        <sz val="10"/>
        <color rgb="FFFF0000"/>
        <rFont val="Arial"/>
        <family val="2"/>
      </rPr>
      <t>(Preliminary)</t>
    </r>
  </si>
  <si>
    <t>State Cost
Allocation
Monthly
Payment</t>
  </si>
  <si>
    <t>Total MFP
State Cost
Allocation
+/- Mid-Year
Adjustments
- Admin Fee
+/- Audit Adj.
+Total Level 4</t>
  </si>
  <si>
    <r>
      <t>Initial
FY2021-22
Local Revenue
Representation
Per Pupil</t>
    </r>
    <r>
      <rPr>
        <sz val="10"/>
        <color indexed="18"/>
        <rFont val="Arial"/>
        <family val="2"/>
      </rPr>
      <t xml:space="preserve">
(per charter law)
In a District
Building</t>
    </r>
  </si>
  <si>
    <t>Total
Local Revenue
Representation</t>
  </si>
  <si>
    <t>Change in
Funded
Student
Count Per
Oct. 2021
Mid-Year
Adjustment</t>
  </si>
  <si>
    <t>October
2021
Mid-Year
Adjustment</t>
  </si>
  <si>
    <t>Change in
Funded
Student
Count Per
Feb. 2022
Mid-Year
Adjustment</t>
  </si>
  <si>
    <r>
      <t xml:space="preserve">February
2022
Mid-Year
Adjustment
</t>
    </r>
    <r>
      <rPr>
        <sz val="10"/>
        <color indexed="18"/>
        <rFont val="Arial"/>
        <family val="2"/>
      </rPr>
      <t xml:space="preserve">
(Half the
Per Pupil)</t>
    </r>
  </si>
  <si>
    <t>Total
Local Revenue
Representation
+/- Mid-Year Adjustments</t>
  </si>
  <si>
    <t>Admin
Fee to
RSD
1.75%</t>
  </si>
  <si>
    <t>Admin
Fee to the
Dept. of
Education
.25%</t>
  </si>
  <si>
    <t>Total
Admin
Fee</t>
  </si>
  <si>
    <t>Total
Local Revenue
Representation
+/- Mid-Year Adjustments
- Admin Fee</t>
  </si>
  <si>
    <t>Total
Local Revenue
Representation
+/- Mid-Year
Adjustments
- Admin Fee
 +/- Audit Adjs</t>
  </si>
  <si>
    <t>Local Revenue
Representation
Monthly
Payment</t>
  </si>
  <si>
    <t>T8A, C3</t>
  </si>
  <si>
    <t>T9, C15</t>
  </si>
  <si>
    <t>C10 x -1.75%</t>
  </si>
  <si>
    <t>C10 x -.25%</t>
  </si>
  <si>
    <t>C11 + C12</t>
  </si>
  <si>
    <t>C10 + C13</t>
  </si>
  <si>
    <t>C14 + C15</t>
  </si>
  <si>
    <t>T4, C2</t>
  </si>
  <si>
    <t>T4, C14</t>
  </si>
  <si>
    <t>T4, C26</t>
  </si>
  <si>
    <t>T4, C38</t>
  </si>
  <si>
    <t>Sum (C16:C20)</t>
  </si>
  <si>
    <t>Prior Month File:
(T5B2, C22 + C24</t>
  </si>
  <si>
    <t>C21 - C22</t>
  </si>
  <si>
    <t>C23 ÷ Months Remaining</t>
  </si>
  <si>
    <t>T4, C7</t>
  </si>
  <si>
    <t>T4, C9</t>
  </si>
  <si>
    <t>T4, C10</t>
  </si>
  <si>
    <t>C21 + C25 + C26 + C27</t>
  </si>
  <si>
    <t>T9, C11</t>
  </si>
  <si>
    <t>C1 x C29</t>
  </si>
  <si>
    <t>C29 x C31</t>
  </si>
  <si>
    <t>C29 x C33 x .5</t>
  </si>
  <si>
    <t>C32 + C34</t>
  </si>
  <si>
    <t>C30 + C35</t>
  </si>
  <si>
    <t>C36 x -1.75%</t>
  </si>
  <si>
    <t>C36 x -.25%</t>
  </si>
  <si>
    <t>C37 + C38</t>
  </si>
  <si>
    <t>C36 + C39</t>
  </si>
  <si>
    <t>Prior Month File:
(T5B2, C43 + C45)</t>
  </si>
  <si>
    <t>C42 - C43</t>
  </si>
  <si>
    <t>C44 ÷ Months Remaining</t>
  </si>
  <si>
    <t>WX1001</t>
  </si>
  <si>
    <t>Linwood Public Charter School
Caddo Parish</t>
  </si>
  <si>
    <t>W9B001</t>
  </si>
  <si>
    <t>Capitol High School
East Baton Rouge Parish</t>
  </si>
  <si>
    <t>3B9001</t>
  </si>
  <si>
    <t>Total RSD Operated</t>
  </si>
  <si>
    <t>Kenilworth Middle</t>
  </si>
  <si>
    <t>Total Type 5 Charter Schools
East Baton Rouge Parish</t>
  </si>
  <si>
    <t>Total RSD Operated &amp; Type 5 Charter Schools
East Baton Rouge Parish</t>
  </si>
  <si>
    <t>Total RSD Operated &amp; Type 5 Charter Schools</t>
  </si>
  <si>
    <t>Table 5C1
New Type 2
Charter Schools</t>
  </si>
  <si>
    <t>Unweighted</t>
  </si>
  <si>
    <t>State Admin
Fee to the
Dept. of
Education
0.25%</t>
  </si>
  <si>
    <r>
      <t xml:space="preserve">Prior Years
MFP Audit
Adjustments
</t>
    </r>
    <r>
      <rPr>
        <sz val="10"/>
        <color indexed="18"/>
        <rFont val="Arial"/>
        <family val="2"/>
      </rPr>
      <t xml:space="preserve">
(Includes
FY2019-20 &amp;
FY2020-21)</t>
    </r>
  </si>
  <si>
    <t>Total MFP State
Cost Allocation
+/- Mid-Year Adjs
- Admin Fee
+/- Audit Adjs
+ Monthly Level 4</t>
  </si>
  <si>
    <t>Year To
Date State
Payments</t>
  </si>
  <si>
    <t xml:space="preserve">State
Cost
Allocation
Monthly
Payment
</t>
  </si>
  <si>
    <t>Level 4
Annual
Allocation</t>
  </si>
  <si>
    <t>Total MFP State
Cost Allocation
+/- Mid-Year Adjs
- Admin Fee
+/- Audit Adjs
+ Total Level 4</t>
  </si>
  <si>
    <r>
      <t xml:space="preserve">FY2021-22
Local Revenue
Representation
Per Pupil
</t>
    </r>
    <r>
      <rPr>
        <sz val="10"/>
        <color indexed="18"/>
        <rFont val="Arial"/>
        <family val="2"/>
      </rPr>
      <t>(per charter law)</t>
    </r>
  </si>
  <si>
    <t>Local
Revenue
Representation</t>
  </si>
  <si>
    <t>Total Local
Revenue
Representation
+/- Mid-Year
Adjustments</t>
  </si>
  <si>
    <t>Admin Fee
to the
Dept. of
Education
0.25%</t>
  </si>
  <si>
    <t>Total Local
Revenue
Representation
+/- Mid-Year
Adjustments
- Admin Fee</t>
  </si>
  <si>
    <t>Total Local
Revenue
Representation
+/- Mid-Year
Adjustments
- Admin Fee
+/- Audit Adj.</t>
  </si>
  <si>
    <t>Per
Pupil</t>
  </si>
  <si>
    <t>Unweighted
State Cost
Allocation
With
Continuation
of Prior Year
Pay Raises</t>
  </si>
  <si>
    <t>(24a)</t>
  </si>
  <si>
    <t>(28a)</t>
  </si>
  <si>
    <t>Tab Order</t>
  </si>
  <si>
    <t>T9, C6</t>
  </si>
  <si>
    <t>C4 x C5</t>
  </si>
  <si>
    <t>C7 x C8</t>
  </si>
  <si>
    <t>C10 x C11</t>
  </si>
  <si>
    <t>C13 x C14</t>
  </si>
  <si>
    <t>C3 + C6 + C9
+ C12 + C15</t>
  </si>
  <si>
    <t>C17 + C18</t>
  </si>
  <si>
    <t>C16 + C19</t>
  </si>
  <si>
    <t>C20 x -.25%</t>
  </si>
  <si>
    <t xml:space="preserve">
(T4, C2; C14; C26; C38)</t>
  </si>
  <si>
    <t>C22 + C23 + C24a</t>
  </si>
  <si>
    <t>Prior Month File: (T5C1, C25 + C27)</t>
  </si>
  <si>
    <t>C24 - C25</t>
  </si>
  <si>
    <t>C26 ÷ Remaining Months</t>
  </si>
  <si>
    <t>C24 + C28a</t>
  </si>
  <si>
    <t>T9, C12</t>
  </si>
  <si>
    <t>C36 + C37</t>
  </si>
  <si>
    <t>C38 + C39</t>
  </si>
  <si>
    <t>Prior Month File:
(T5C1, C41 + C43)</t>
  </si>
  <si>
    <t>C40 - C41</t>
  </si>
  <si>
    <t>C42 ÷ Remaining Months</t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</si>
  <si>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</si>
  <si>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</si>
  <si>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r>
      <t xml:space="preserve">Louisiana Virtual Charter Academy </t>
    </r>
    <r>
      <rPr>
        <sz val="9"/>
        <rFont val="Arial"/>
        <family val="2"/>
      </rPr>
      <t>(90%)</t>
    </r>
  </si>
  <si>
    <t>Athlos Academy of Jefferson Parish</t>
  </si>
  <si>
    <t>Collegiate Academies</t>
  </si>
  <si>
    <t>GEO Prep Mid-City of Great BR</t>
  </si>
  <si>
    <t>LAVCA 10% Return to State</t>
  </si>
  <si>
    <t>Univ View 10% Return to State</t>
  </si>
  <si>
    <t>School 
System</t>
  </si>
  <si>
    <t>Local Deduction Property Tax</t>
  </si>
  <si>
    <t>Local Deduction Sales Tax</t>
  </si>
  <si>
    <t>Other
Revenue</t>
  </si>
  <si>
    <r>
      <t xml:space="preserve">Total Local
Deduction
</t>
    </r>
    <r>
      <rPr>
        <sz val="10"/>
        <color indexed="18"/>
        <rFont val="Arial"/>
        <family val="2"/>
      </rPr>
      <t>(Property,
Sales, and
Other Revenue)</t>
    </r>
  </si>
  <si>
    <t>2019
Ad Valorem
Tax Revenues</t>
  </si>
  <si>
    <t>2019
Net Assessed
Taxable
Property
with Growth
Cap of 10%</t>
  </si>
  <si>
    <t>Projected
Yield of
Property
Tax Millage
Rate of</t>
  </si>
  <si>
    <t>FY2019-20
Sales Tax
Revenue</t>
  </si>
  <si>
    <t>FY2019-20
Computed
Sales
Tax Base
with Growth
Cap of 15%</t>
  </si>
  <si>
    <t>Projected
Yield of
Sales Tax
Rate of</t>
  </si>
  <si>
    <t>(T7, C27)</t>
  </si>
  <si>
    <t>(T7, C3c)</t>
  </si>
  <si>
    <r>
      <t xml:space="preserve">C2 x 14.32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1,000</t>
    </r>
  </si>
  <si>
    <t>(T7, C32)</t>
  </si>
  <si>
    <t>(T7, C36)</t>
  </si>
  <si>
    <t>C5 x 0.70%</t>
  </si>
  <si>
    <t>(T7, C39)</t>
  </si>
  <si>
    <t>C3 + C6 + C7</t>
  </si>
  <si>
    <t>2019 Assessed Property Value</t>
  </si>
  <si>
    <t>Ad Valorem
Constitutional Tax</t>
  </si>
  <si>
    <t>Ad Valorem Renewable Taxes</t>
  </si>
  <si>
    <r>
      <t xml:space="preserve">Total
Ad Valorem
Taxes
</t>
    </r>
    <r>
      <rPr>
        <sz val="10"/>
        <color indexed="20"/>
        <rFont val="Arial"/>
        <family val="2"/>
      </rPr>
      <t>(Non Debt)</t>
    </r>
  </si>
  <si>
    <t>Debt Service Taxes</t>
  </si>
  <si>
    <r>
      <t xml:space="preserve">Total
Ad Valorem
Taxes
</t>
    </r>
    <r>
      <rPr>
        <sz val="10"/>
        <color indexed="20"/>
        <rFont val="Arial"/>
        <family val="2"/>
      </rPr>
      <t>(Debt)</t>
    </r>
  </si>
  <si>
    <t>Summary Of 2019-2020 Ad Valorem Taxes</t>
  </si>
  <si>
    <t>Total
Ad Valorem
Revenue
Including Debt
With CAFR
Audit Adjs.</t>
  </si>
  <si>
    <t>2019-2020 Summary Of Sales Taxes</t>
  </si>
  <si>
    <t>Total
Sales Tax
Revenue
With CAFR
Audit Adjs.</t>
  </si>
  <si>
    <t>2019-2020 Computed Sales Tax Base</t>
  </si>
  <si>
    <r>
      <t xml:space="preserve">Other Revenues:
</t>
    </r>
    <r>
      <rPr>
        <sz val="10"/>
        <color indexed="20"/>
        <rFont val="Arial"/>
        <family val="2"/>
      </rPr>
      <t>(Includes State &amp;
Federal taxes in
lieu of &amp; 50% of
earnings from
16th section and
other real estate)</t>
    </r>
  </si>
  <si>
    <r>
      <t xml:space="preserve">Total Local
Revenue
</t>
    </r>
    <r>
      <rPr>
        <sz val="10"/>
        <color rgb="FF800080"/>
        <rFont val="Arial"/>
        <family val="2"/>
      </rPr>
      <t>(For Use in MFP
Levels 1 and 2)</t>
    </r>
  </si>
  <si>
    <t>Total Assessed
Property Value</t>
  </si>
  <si>
    <t>Assessed
Homestead
Exemption</t>
  </si>
  <si>
    <t>Net Assessed
Taxable
Property</t>
  </si>
  <si>
    <r>
      <t xml:space="preserve">Prior Year
Net Assessed
Taxable
Property
</t>
    </r>
    <r>
      <rPr>
        <sz val="10"/>
        <color indexed="18"/>
        <rFont val="Arial"/>
        <family val="2"/>
      </rPr>
      <t>(Without cap)</t>
    </r>
  </si>
  <si>
    <t>Percent
Change
of Net
Assessed
Taxable
Property</t>
  </si>
  <si>
    <t>Net Assessed
Taxable Property
With Cap Of</t>
  </si>
  <si>
    <t>Parish
Mill
Rate</t>
  </si>
  <si>
    <t>Parish
Revenue
Amount</t>
  </si>
  <si>
    <t>District
Mill
Low</t>
  </si>
  <si>
    <t>District
Mill
High</t>
  </si>
  <si>
    <t># Of
Districts</t>
  </si>
  <si>
    <t>District
Revenue
Amount</t>
  </si>
  <si>
    <t/>
  </si>
  <si>
    <t>Parishwide
Millage
Including
Debt</t>
  </si>
  <si>
    <t>Parishwide
Revenue
Including
Debt</t>
  </si>
  <si>
    <t>District
Revenue
Including
Debt</t>
  </si>
  <si>
    <r>
      <t xml:space="preserve">Total
Average
Mill Rate
</t>
    </r>
    <r>
      <rPr>
        <sz val="10"/>
        <color indexed="18"/>
        <rFont val="Arial"/>
        <family val="2"/>
      </rPr>
      <t>(Debt)</t>
    </r>
  </si>
  <si>
    <r>
      <t xml:space="preserve">Total
Average
Mill Rate
</t>
    </r>
    <r>
      <rPr>
        <sz val="10"/>
        <color indexed="18"/>
        <rFont val="Arial"/>
        <family val="2"/>
      </rPr>
      <t>(Non Debt)</t>
    </r>
  </si>
  <si>
    <t>Total
Average
Mill Rate
Including
Debt</t>
  </si>
  <si>
    <t>CAFR Audit
Adjustments</t>
  </si>
  <si>
    <t>Combined
Sales
Percent</t>
  </si>
  <si>
    <r>
      <t xml:space="preserve">Sales
Revenue
</t>
    </r>
    <r>
      <rPr>
        <sz val="10"/>
        <color rgb="FF000080"/>
        <rFont val="Arial"/>
        <family val="2"/>
      </rPr>
      <t>(Non Debt)</t>
    </r>
  </si>
  <si>
    <r>
      <t xml:space="preserve">Sales
Revenue
</t>
    </r>
    <r>
      <rPr>
        <sz val="10"/>
        <color rgb="FF000080"/>
        <rFont val="Arial"/>
        <family val="2"/>
      </rPr>
      <t>(Debt)</t>
    </r>
  </si>
  <si>
    <r>
      <t xml:space="preserve">Prior Year
Computed
Sales Tax Base
</t>
    </r>
    <r>
      <rPr>
        <sz val="10"/>
        <color rgb="FF000080"/>
        <rFont val="Arial"/>
        <family val="2"/>
      </rPr>
      <t>(Without Cap)</t>
    </r>
  </si>
  <si>
    <t>Computed
Sales Tax
Base</t>
  </si>
  <si>
    <t>Percent
Change of
Computed
Sales Tax
Base</t>
  </si>
  <si>
    <t>Computed
Sales Tax
Base With
Growth Cap Of</t>
  </si>
  <si>
    <t>Non
Debt
Rate</t>
  </si>
  <si>
    <t>Debt
Rate</t>
  </si>
  <si>
    <t>(3b)</t>
  </si>
  <si>
    <t>(3c)</t>
  </si>
  <si>
    <t>Louisiana Tax Commission
Table 41</t>
  </si>
  <si>
    <t>Louisiana Tax Commission
Table 43</t>
  </si>
  <si>
    <t>C1 - C2</t>
  </si>
  <si>
    <t>Prior Year
T7, C3</t>
  </si>
  <si>
    <r>
      <t xml:space="preserve">(C3 - C3a)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C3a</t>
    </r>
  </si>
  <si>
    <t>If C3b &gt; 10%,
3a x (1 + 10%), C3</t>
  </si>
  <si>
    <t>KPC 62220,
C3</t>
  </si>
  <si>
    <t>KPC 62160 through 62220, C4</t>
  </si>
  <si>
    <t>KPC 62320,
C3</t>
  </si>
  <si>
    <t>KPC 62260 through 62320, C4</t>
  </si>
  <si>
    <t>KPC 62320,
C5</t>
  </si>
  <si>
    <t>KPC 62320,
C6</t>
  </si>
  <si>
    <t>KPC 62320,
C7</t>
  </si>
  <si>
    <t>KPC 62260 through 62320, C8</t>
  </si>
  <si>
    <t>C5 + C7 + C11</t>
  </si>
  <si>
    <t>KPC 62620,
C3</t>
  </si>
  <si>
    <t>KPC 62560 through 62620, C4</t>
  </si>
  <si>
    <t>KPC 62620,
C5</t>
  </si>
  <si>
    <t>KPC 62620,
C6</t>
  </si>
  <si>
    <t>KPC 62620,
C7</t>
  </si>
  <si>
    <t>KPC 62560 through 62620, C8</t>
  </si>
  <si>
    <t>C14 + C18</t>
  </si>
  <si>
    <t>C4 + C6
+ C13</t>
  </si>
  <si>
    <t>C5 + C7
+ C14</t>
  </si>
  <si>
    <t>C11 + C18</t>
  </si>
  <si>
    <r>
      <t xml:space="preserve">(C19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</si>
  <si>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(C12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</si>
  <si>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r>
      <t xml:space="preserve">(C27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C3)
*1,000</t>
    </r>
  </si>
  <si>
    <t>C12 + C19 + C26</t>
  </si>
  <si>
    <t>KPC 63320,
C3</t>
  </si>
  <si>
    <t>KPC 63320,
C4</t>
  </si>
  <si>
    <t>KPC 63320,
C5</t>
  </si>
  <si>
    <t>C29 + C30 + C31</t>
  </si>
  <si>
    <t>Prior Year
T7, C34</t>
  </si>
  <si>
    <r>
      <t xml:space="preserve">C32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C28</t>
    </r>
  </si>
  <si>
    <r>
      <t xml:space="preserve">(C34 - C33)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C33</t>
    </r>
  </si>
  <si>
    <t>If C35 &gt; 15%,
C33 x (1 + 15%)</t>
  </si>
  <si>
    <r>
      <t xml:space="preserve">C29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</si>
  <si>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r>
      <t xml:space="preserve">C30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 C34</t>
    </r>
  </si>
  <si>
    <t>KPC 6700, 6850, 7000, 7150, 12200, 12300, 12400, and 50% of 2250 &amp; 2300</t>
  </si>
  <si>
    <t>C27 + C32
+ C39</t>
  </si>
  <si>
    <r>
      <t xml:space="preserve">C40 </t>
    </r>
    <r>
      <rPr>
        <sz val="8"/>
        <color indexed="20"/>
        <rFont val="Calibri"/>
        <family val="2"/>
      </rPr>
      <t>÷</t>
    </r>
    <r>
      <rPr>
        <sz val="8"/>
        <color indexed="20"/>
        <rFont val="Arial"/>
        <family val="2"/>
      </rPr>
      <t xml:space="preserve">
(T3, C1)</t>
    </r>
  </si>
  <si>
    <t>Input (Louisiana Tax Commission Annual Report)</t>
  </si>
  <si>
    <t>Input
(Prior Year
Budget Letter)</t>
  </si>
  <si>
    <t>Input
(AFR in Access)</t>
  </si>
  <si>
    <t>February 1, 2021
Student Membership</t>
  </si>
  <si>
    <t>*City/Parish
MFP
Membership</t>
  </si>
  <si>
    <t>RSD
Operated
&amp;
Type 5
Charters</t>
  </si>
  <si>
    <t>New Type 2 Charter Schools</t>
  </si>
  <si>
    <t>Total
Table 3</t>
  </si>
  <si>
    <t>Legacy Type 2 Charter Schools</t>
  </si>
  <si>
    <t>Lab &amp; State Approved Schools</t>
  </si>
  <si>
    <t>Total
MFP
Funded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</si>
  <si>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</si>
  <si>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</si>
  <si>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</si>
  <si>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</si>
  <si>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</si>
  <si>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</si>
  <si>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</si>
  <si>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</si>
  <si>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</si>
  <si>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</si>
  <si>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</si>
  <si>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</si>
  <si>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</si>
  <si>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This Column
Intentionally
Left Blank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</si>
  <si>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</si>
  <si>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</si>
  <si>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</si>
  <si>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</si>
  <si>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</si>
  <si>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</si>
  <si>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</si>
  <si>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</si>
  <si>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</si>
  <si>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
Institute</t>
  </si>
  <si>
    <t>JCFA
Lafayette</t>
  </si>
  <si>
    <t>Collegiate
Academy</t>
  </si>
  <si>
    <t>New Harmony
High School</t>
  </si>
  <si>
    <t>Athlos
Academy
of Jefferson
Parish</t>
  </si>
  <si>
    <t>GEO Next
Generation
High School</t>
  </si>
  <si>
    <t>Red River
Charter
Academy</t>
  </si>
  <si>
    <t>Louisiana
Virtual
Charter
Academy</t>
  </si>
  <si>
    <t>University
View
Academy</t>
  </si>
  <si>
    <t>New Vision
Learning
Academy</t>
  </si>
  <si>
    <t>Glencoe
Charter
School</t>
  </si>
  <si>
    <t>Int'l School
of Louisiana</t>
  </si>
  <si>
    <t>Avoyelles
Public
Charter
School</t>
  </si>
  <si>
    <t>Delhi
Charter
School</t>
  </si>
  <si>
    <t>Belle
Chasse
Academy</t>
  </si>
  <si>
    <t>The MAX
Charter
School</t>
  </si>
  <si>
    <t>LSU 
Lab
School</t>
  </si>
  <si>
    <t>Southern
University
Lab
School</t>
  </si>
  <si>
    <t>Louisiana
School
for Math
Science
&amp; the Arts</t>
  </si>
  <si>
    <t>New
Orleans
Center for
Creative
Arts</t>
  </si>
  <si>
    <t>Thrive Academy</t>
  </si>
  <si>
    <t>Base, C1</t>
  </si>
  <si>
    <t>Base, C3</t>
  </si>
  <si>
    <t>Base, C5</t>
  </si>
  <si>
    <t>Base, C4</t>
  </si>
  <si>
    <t>Base, C6</t>
  </si>
  <si>
    <t>Base, C10</t>
  </si>
  <si>
    <t>Base, C9</t>
  </si>
  <si>
    <t>Base, C8</t>
  </si>
  <si>
    <t>Base, C35</t>
  </si>
  <si>
    <t>Base, C34</t>
  </si>
  <si>
    <t>Base, C29</t>
  </si>
  <si>
    <t>Base, C12</t>
  </si>
  <si>
    <t>Base, C22</t>
  </si>
  <si>
    <t>Base, C24</t>
  </si>
  <si>
    <t>Base, C31</t>
  </si>
  <si>
    <t>Base, C13</t>
  </si>
  <si>
    <t>Base, C23</t>
  </si>
  <si>
    <t>Base, C25</t>
  </si>
  <si>
    <t>Base, C26</t>
  </si>
  <si>
    <t>Base, C28</t>
  </si>
  <si>
    <t>Base, C30</t>
  </si>
  <si>
    <t>Base, C16</t>
  </si>
  <si>
    <t>Base, C37</t>
  </si>
  <si>
    <t>Base, C17</t>
  </si>
  <si>
    <t>Base, C18</t>
  </si>
  <si>
    <t>Base, C20</t>
  </si>
  <si>
    <t>Base, C33</t>
  </si>
  <si>
    <t>Base, C7</t>
  </si>
  <si>
    <t>Sum(C1:C39)</t>
  </si>
  <si>
    <t>Base, C41</t>
  </si>
  <si>
    <t>Base, C42</t>
  </si>
  <si>
    <t>Base, C43</t>
  </si>
  <si>
    <t>Base, C44</t>
  </si>
  <si>
    <t>Base, C45</t>
  </si>
  <si>
    <t>Base, C46</t>
  </si>
  <si>
    <t>Base, C48</t>
  </si>
  <si>
    <t>Base, C49</t>
  </si>
  <si>
    <t>Base, C50</t>
  </si>
  <si>
    <t>Base, C52</t>
  </si>
  <si>
    <t>Base, C53</t>
  </si>
  <si>
    <t>Sum(C40:C53)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</si>
  <si>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</si>
  <si>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</si>
  <si>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</si>
  <si>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</si>
  <si>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</si>
  <si>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</si>
  <si>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</si>
  <si>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</si>
  <si>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</si>
  <si>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</si>
  <si>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</si>
  <si>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</si>
  <si>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</si>
  <si>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</si>
  <si>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</si>
  <si>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</si>
  <si>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</si>
  <si>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</si>
  <si>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</si>
  <si>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</si>
  <si>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</si>
  <si>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</si>
  <si>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</si>
  <si>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</si>
  <si>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</si>
  <si>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</si>
  <si>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</si>
  <si>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</si>
  <si>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</si>
  <si>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</si>
  <si>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</si>
  <si>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</si>
  <si>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</si>
  <si>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</si>
  <si>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</si>
  <si>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</si>
  <si>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</si>
  <si>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</si>
  <si>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</si>
  <si>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</si>
  <si>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</si>
  <si>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</si>
  <si>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</si>
  <si>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</si>
  <si>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</si>
  <si>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</si>
  <si>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</si>
  <si>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</si>
  <si>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</si>
  <si>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</si>
  <si>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</si>
  <si>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</si>
  <si>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</si>
  <si>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</si>
  <si>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</si>
  <si>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</si>
  <si>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</si>
  <si>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</si>
  <si>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</si>
  <si>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</si>
  <si>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</si>
  <si>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</si>
  <si>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</si>
  <si>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</si>
  <si>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</si>
  <si>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</si>
  <si>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</si>
  <si>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</si>
  <si>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</si>
  <si>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</si>
  <si>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</si>
  <si>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</si>
  <si>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</si>
  <si>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</si>
  <si>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</si>
  <si>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</si>
  <si>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</si>
  <si>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</si>
  <si>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</si>
  <si>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</si>
  <si>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</si>
  <si>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</si>
  <si>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</si>
  <si>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</si>
  <si>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</si>
  <si>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</si>
  <si>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</si>
  <si>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</si>
  <si>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</si>
  <si>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</si>
  <si>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</si>
  <si>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</si>
  <si>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</si>
  <si>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</si>
  <si>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</si>
  <si>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</si>
  <si>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</si>
  <si>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</si>
  <si>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</si>
  <si>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</si>
  <si>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</si>
  <si>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</si>
  <si>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</si>
  <si>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</si>
  <si>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</si>
  <si>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</si>
  <si>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</si>
  <si>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</si>
  <si>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</si>
  <si>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</si>
  <si>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</si>
  <si>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</si>
  <si>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</si>
  <si>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</si>
  <si>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</si>
  <si>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</si>
  <si>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</si>
  <si>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</si>
  <si>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</si>
  <si>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</si>
  <si>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</si>
  <si>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</si>
  <si>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</si>
  <si>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</si>
  <si>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</si>
  <si>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</si>
  <si>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</si>
  <si>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</si>
  <si>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</si>
  <si>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</si>
  <si>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</si>
  <si>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</si>
  <si>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</si>
  <si>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</si>
  <si>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</si>
  <si>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</si>
  <si>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</si>
  <si>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</si>
  <si>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*Includes student counts from closed Type 2 Charter Schools as a placeholder</t>
  </si>
  <si>
    <t>2.1.21 Student Counts
RSD Operated &amp; Type 5 Charter Schools</t>
  </si>
  <si>
    <t>Caddo
Parish</t>
  </si>
  <si>
    <t>East
Baton
Rouge
Parish</t>
  </si>
  <si>
    <t>Total</t>
  </si>
  <si>
    <t>Celerity Dalton Charter School</t>
  </si>
  <si>
    <t>Celerity Lanier Charter School</t>
  </si>
  <si>
    <t>Celerity Glen Oaks</t>
  </si>
  <si>
    <t>FY2021-22 Unweighted State Cost Allocation Per Pupil Amounts
For Types 1, 2, 3, 3B, and 4 Charter Schools</t>
  </si>
  <si>
    <t>FY2021-22 Weighted State Cost Allocation Per Pupil Amounts
For Types 1, 2, 3, 3B, and 4 Charter Schools</t>
  </si>
  <si>
    <t>FY2021-22 Initial Local Revenue Representation Per Pupil Amounts</t>
  </si>
  <si>
    <t>Legacy Type 2
Charter Schools</t>
  </si>
  <si>
    <r>
      <t xml:space="preserve">State Cost
Allocation
Per Pupil
</t>
    </r>
    <r>
      <rPr>
        <sz val="10"/>
        <color rgb="FF000080"/>
        <rFont val="Arial"/>
        <family val="2"/>
      </rPr>
      <t>(Levels 1, 2,
&amp; 3 without
Continuation
of Prior Year
Pay Raises)</t>
    </r>
  </si>
  <si>
    <t>Levels 1 &amp; 2
Local Cost
Allocation
Per Pupil</t>
  </si>
  <si>
    <t>State Approved
Public Schools</t>
  </si>
  <si>
    <t>Level 1
Base</t>
  </si>
  <si>
    <t>Level 2</t>
  </si>
  <si>
    <t>Level 3
Historical
Formula
Allocation
&amp; Mandated
Cost
Adjustments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</si>
  <si>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</si>
  <si>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</si>
  <si>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</si>
  <si>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</si>
  <si>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</si>
  <si>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</si>
  <si>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</si>
  <si>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</si>
  <si>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</si>
  <si>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color rgb="FF000080"/>
        <rFont val="Arial"/>
        <family val="2"/>
      </rPr>
      <t>(With Local Revenue
Representation</t>
    </r>
    <r>
      <rPr>
        <sz val="10"/>
        <color rgb="FF000080"/>
        <rFont val="Arial"/>
        <family val="2"/>
      </rPr>
      <t>)</t>
    </r>
  </si>
  <si>
    <r>
      <t xml:space="preserve">Total State Cost
&amp; Local Cost
Allocation
Per Pupil
</t>
    </r>
    <r>
      <rPr>
        <sz val="10"/>
        <color rgb="FF000080"/>
        <rFont val="Arial"/>
        <family val="2"/>
      </rPr>
      <t>(With
Continuation
of Prior Year
Pay Raises)</t>
    </r>
  </si>
  <si>
    <t>Link to Charter Per Pupil</t>
  </si>
  <si>
    <t>Charter Per
Pupil File, C1</t>
  </si>
  <si>
    <t>Charter Per
Pupil File, C6</t>
  </si>
  <si>
    <t>Charter Per
Pupil File, C8</t>
  </si>
  <si>
    <t>C1 + C2 + C3</t>
  </si>
  <si>
    <t>Charter Per
Pupil File, C7</t>
  </si>
  <si>
    <t>C4 + C5</t>
  </si>
  <si>
    <t>Charter Per
Pupil File, C2</t>
  </si>
  <si>
    <t>Charter Per
Pupil File, C3</t>
  </si>
  <si>
    <t>Charter Per
Pupil File, C4</t>
  </si>
  <si>
    <t>Charter Per
Pupil File, C5</t>
  </si>
  <si>
    <t>Charter Per
Pupil File, C9</t>
  </si>
  <si>
    <t>Charter Per
Pupil File, C12</t>
  </si>
  <si>
    <t>C1 + C2 + C3 + C12</t>
  </si>
  <si>
    <t>T2, C36</t>
  </si>
  <si>
    <t>T3, C30</t>
  </si>
  <si>
    <t>T3, C38</t>
  </si>
  <si>
    <t>C5 + C15 + C16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</si>
  <si>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</si>
  <si>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</si>
  <si>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</si>
  <si>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</si>
  <si>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</si>
  <si>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</si>
  <si>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</si>
  <si>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is $732 for Types 1, 3, 3B, and 4 Charter Schools in Orleans 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</si>
</sst>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#,##0.0_);[Red]\(#,##0.0\)"/>
    <numFmt numFmtId="167" formatCode="0.000%"/>
    <numFmt numFmtId="168" formatCode="0.0000000"/>
    <numFmt numFmtId="169" formatCode="_(* #,##0.0_);_(* \(#,##0.0\);_(* &quot;-&quot;??_);_(@_)"/>
    <numFmt numFmtId="170" formatCode="0.0%"/>
    <numFmt numFmtId="171" formatCode="0_);[Red]\(0\)"/>
    <numFmt numFmtId="172" formatCode="&quot;$&quot;#,##0;[Red]&quot;$&quot;#,##0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21"/>
      <name val="Arial Narrow"/>
      <family val="2"/>
    </font>
    <font>
      <b/>
      <sz val="18"/>
      <color indexed="20"/>
      <name val="Arial Narrow"/>
      <family val="2"/>
    </font>
    <font>
      <b/>
      <sz val="12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FF0000"/>
      <name val="Arial Narrow"/>
      <family val="2"/>
    </font>
    <font>
      <b/>
      <sz val="11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2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  <charset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8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indexed="18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sz val="12"/>
      <color indexed="18"/>
      <name val="Arial"/>
      <family val="2"/>
    </font>
    <font>
      <b/>
      <sz val="10"/>
      <color indexed="20"/>
      <name val="Arial Narrow"/>
      <family val="2"/>
    </font>
    <font>
      <b/>
      <sz val="12"/>
      <name val="Arial"/>
      <family val="2"/>
    </font>
    <font>
      <b/>
      <sz val="11"/>
      <color rgb="FF000080"/>
      <name val="Arial Narrow"/>
      <family val="2"/>
    </font>
    <font>
      <b/>
      <i/>
      <sz val="16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sz val="10"/>
      <color rgb="FF800080"/>
      <name val="Arial"/>
      <family val="2"/>
    </font>
    <font>
      <sz val="10"/>
      <color rgb="FF800080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9" tint="0.79998168889431442"/>
        <bgColor indexed="0"/>
      </patternFill>
    </fill>
    <fill>
      <patternFill patternType="solid">
        <fgColor rgb="FFFFFF99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</fills>
  <borders count="18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theme="0" tint="-0.2499465926084170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20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8" fillId="0" borderId="0"/>
    <xf numFmtId="0" fontId="12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1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quotePrefix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5" fillId="0" borderId="4" xfId="0" applyFont="1" applyFill="1" applyBorder="1" applyAlignment="1" applyProtection="1">
      <alignment horizontal="left" vertical="center"/>
    </xf>
    <xf numFmtId="6" fontId="6" fillId="0" borderId="5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left" vertical="center"/>
    </xf>
    <xf numFmtId="6" fontId="6" fillId="0" borderId="7" xfId="0" applyNumberFormat="1" applyFont="1" applyFill="1" applyBorder="1" applyAlignment="1" applyProtection="1">
      <alignment vertical="center"/>
    </xf>
    <xf numFmtId="0" fontId="6" fillId="0" borderId="6" xfId="0" quotePrefix="1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5" fillId="0" borderId="8" xfId="0" quotePrefix="1" applyFont="1" applyFill="1" applyBorder="1" applyAlignment="1" applyProtection="1">
      <alignment horizontal="left" vertical="center" wrapText="1"/>
    </xf>
    <xf numFmtId="6" fontId="5" fillId="0" borderId="9" xfId="0" applyNumberFormat="1" applyFont="1" applyFill="1" applyBorder="1" applyAlignment="1" applyProtection="1">
      <alignment vertical="center"/>
    </xf>
    <xf numFmtId="6" fontId="0" fillId="0" borderId="0" xfId="0" applyNumberForma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3" borderId="10" xfId="0" applyFont="1" applyFill="1" applyBorder="1" applyAlignment="1" applyProtection="1">
      <alignment horizontal="center" vertical="center" wrapText="1"/>
    </xf>
    <xf numFmtId="49" fontId="13" fillId="5" borderId="10" xfId="4" applyNumberFormat="1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0" fontId="13" fillId="8" borderId="10" xfId="0" applyFont="1" applyFill="1" applyBorder="1" applyAlignment="1" applyProtection="1">
      <alignment horizontal="center" vertical="center" wrapText="1"/>
    </xf>
    <xf numFmtId="0" fontId="10" fillId="8" borderId="10" xfId="0" quotePrefix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0" fontId="10" fillId="6" borderId="10" xfId="0" quotePrefix="1" applyFont="1" applyFill="1" applyBorder="1" applyAlignment="1" applyProtection="1">
      <alignment horizontal="center" vertical="center" wrapText="1"/>
    </xf>
    <xf numFmtId="1" fontId="12" fillId="9" borderId="10" xfId="0" applyNumberFormat="1" applyFont="1" applyFill="1" applyBorder="1" applyAlignment="1" applyProtection="1">
      <alignment horizontal="center" vertical="center"/>
    </xf>
    <xf numFmtId="1" fontId="16" fillId="9" borderId="10" xfId="0" applyNumberFormat="1" applyFont="1" applyFill="1" applyBorder="1" applyAlignment="1" applyProtection="1">
      <alignment horizontal="center" vertical="center"/>
    </xf>
    <xf numFmtId="1" fontId="17" fillId="9" borderId="1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" fontId="18" fillId="9" borderId="10" xfId="0" applyNumberFormat="1" applyFont="1" applyFill="1" applyBorder="1" applyAlignment="1" applyProtection="1">
      <alignment horizontal="center" vertical="center" wrapText="1"/>
    </xf>
    <xf numFmtId="1" fontId="19" fillId="9" borderId="10" xfId="0" applyNumberFormat="1" applyFont="1" applyFill="1" applyBorder="1" applyAlignment="1" applyProtection="1">
      <alignment horizontal="center" vertical="center"/>
    </xf>
    <xf numFmtId="1" fontId="20" fillId="9" borderId="10" xfId="0" applyNumberFormat="1" applyFont="1" applyFill="1" applyBorder="1" applyAlignment="1" applyProtection="1">
      <alignment horizontal="center" vertical="center" wrapText="1"/>
    </xf>
    <xf numFmtId="1" fontId="20" fillId="9" borderId="10" xfId="0" quotePrefix="1" applyNumberFormat="1" applyFont="1" applyFill="1" applyBorder="1" applyAlignment="1" applyProtection="1">
      <alignment horizontal="center" vertical="center" wrapText="1"/>
    </xf>
    <xf numFmtId="1" fontId="20" fillId="9" borderId="10" xfId="4" quotePrefix="1" applyNumberFormat="1" applyFont="1" applyFill="1" applyBorder="1" applyAlignment="1" applyProtection="1">
      <alignment horizontal="center" vertical="center" wrapText="1"/>
    </xf>
    <xf numFmtId="1" fontId="20" fillId="9" borderId="14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6" fontId="12" fillId="0" borderId="17" xfId="0" applyNumberFormat="1" applyFont="1" applyFill="1" applyBorder="1" applyAlignment="1" applyProtection="1">
      <alignment vertical="center"/>
    </xf>
    <xf numFmtId="6" fontId="12" fillId="3" borderId="17" xfId="0" applyNumberFormat="1" applyFont="1" applyFill="1" applyBorder="1" applyAlignment="1" applyProtection="1">
      <alignment vertical="center"/>
    </xf>
    <xf numFmtId="6" fontId="12" fillId="5" borderId="17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6" fontId="12" fillId="0" borderId="20" xfId="0" applyNumberFormat="1" applyFont="1" applyFill="1" applyBorder="1" applyAlignment="1" applyProtection="1">
      <alignment vertical="center"/>
    </xf>
    <xf numFmtId="6" fontId="12" fillId="3" borderId="20" xfId="0" applyNumberFormat="1" applyFont="1" applyFill="1" applyBorder="1" applyAlignment="1" applyProtection="1">
      <alignment vertical="center"/>
    </xf>
    <xf numFmtId="6" fontId="12" fillId="5" borderId="20" xfId="0" applyNumberFormat="1" applyFont="1" applyFill="1" applyBorder="1" applyAlignment="1" applyProtection="1">
      <alignment vertical="center"/>
    </xf>
    <xf numFmtId="0" fontId="12" fillId="0" borderId="21" xfId="0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vertical="center"/>
    </xf>
    <xf numFmtId="6" fontId="12" fillId="0" borderId="23" xfId="0" applyNumberFormat="1" applyFont="1" applyFill="1" applyBorder="1" applyAlignment="1" applyProtection="1">
      <alignment vertical="center"/>
    </xf>
    <xf numFmtId="6" fontId="12" fillId="3" borderId="23" xfId="0" applyNumberFormat="1" applyFont="1" applyFill="1" applyBorder="1" applyAlignment="1" applyProtection="1">
      <alignment vertical="center"/>
    </xf>
    <xf numFmtId="6" fontId="12" fillId="5" borderId="23" xfId="0" applyNumberFormat="1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6" fontId="12" fillId="0" borderId="27" xfId="0" applyNumberFormat="1" applyFont="1" applyFill="1" applyBorder="1" applyAlignment="1" applyProtection="1">
      <alignment vertical="center"/>
    </xf>
    <xf numFmtId="6" fontId="12" fillId="0" borderId="28" xfId="0" applyNumberFormat="1" applyFont="1" applyFill="1" applyBorder="1" applyAlignment="1" applyProtection="1">
      <alignment vertical="center"/>
    </xf>
    <xf numFmtId="6" fontId="12" fillId="3" borderId="28" xfId="0" applyNumberFormat="1" applyFont="1" applyFill="1" applyBorder="1" applyAlignment="1" applyProtection="1">
      <alignment vertical="center"/>
    </xf>
    <xf numFmtId="6" fontId="12" fillId="5" borderId="27" xfId="0" applyNumberFormat="1" applyFont="1" applyFill="1" applyBorder="1" applyAlignment="1" applyProtection="1">
      <alignment vertical="center"/>
    </xf>
    <xf numFmtId="6" fontId="12" fillId="5" borderId="28" xfId="0" applyNumberFormat="1" applyFont="1" applyFill="1" applyBorder="1" applyAlignment="1" applyProtection="1">
      <alignment vertical="center"/>
    </xf>
    <xf numFmtId="0" fontId="16" fillId="0" borderId="29" xfId="0" applyFont="1" applyFill="1" applyBorder="1" applyAlignment="1" applyProtection="1">
      <alignment vertical="center"/>
    </xf>
    <xf numFmtId="0" fontId="16" fillId="0" borderId="29" xfId="0" applyFont="1" applyFill="1" applyBorder="1" applyAlignment="1" applyProtection="1">
      <alignment horizontal="center" vertical="center"/>
    </xf>
    <xf numFmtId="6" fontId="16" fillId="0" borderId="29" xfId="1" applyNumberFormat="1" applyFont="1" applyFill="1" applyBorder="1" applyAlignment="1" applyProtection="1">
      <alignment vertical="center"/>
    </xf>
    <xf numFmtId="6" fontId="16" fillId="3" borderId="29" xfId="1" applyNumberFormat="1" applyFont="1" applyFill="1" applyBorder="1" applyAlignment="1" applyProtection="1">
      <alignment vertical="center"/>
    </xf>
    <xf numFmtId="6" fontId="16" fillId="5" borderId="29" xfId="1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/>
    <xf numFmtId="0" fontId="12" fillId="0" borderId="0" xfId="0" applyFont="1" applyAlignment="1"/>
    <xf numFmtId="6" fontId="12" fillId="0" borderId="0" xfId="0" applyNumberFormat="1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13" fillId="12" borderId="10" xfId="0" applyFont="1" applyFill="1" applyBorder="1" applyAlignment="1" applyProtection="1">
      <alignment horizontal="center" vertical="center" wrapText="1"/>
    </xf>
    <xf numFmtId="0" fontId="10" fillId="12" borderId="10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1" fontId="20" fillId="9" borderId="10" xfId="0" applyNumberFormat="1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vertical="center"/>
    </xf>
    <xf numFmtId="0" fontId="12" fillId="0" borderId="31" xfId="0" applyFont="1" applyFill="1" applyBorder="1" applyAlignment="1" applyProtection="1">
      <alignment vertical="center"/>
    </xf>
    <xf numFmtId="6" fontId="12" fillId="0" borderId="32" xfId="0" applyNumberFormat="1" applyFont="1" applyFill="1" applyBorder="1" applyAlignment="1" applyProtection="1">
      <alignment vertical="center"/>
    </xf>
    <xf numFmtId="6" fontId="12" fillId="12" borderId="32" xfId="0" applyNumberFormat="1" applyFont="1" applyFill="1" applyBorder="1" applyAlignment="1" applyProtection="1">
      <alignment vertical="center"/>
    </xf>
    <xf numFmtId="6" fontId="12" fillId="5" borderId="32" xfId="0" applyNumberFormat="1" applyFont="1" applyFill="1" applyBorder="1" applyAlignment="1" applyProtection="1">
      <alignment vertical="center"/>
    </xf>
    <xf numFmtId="6" fontId="12" fillId="12" borderId="20" xfId="0" applyNumberFormat="1" applyFont="1" applyFill="1" applyBorder="1" applyAlignment="1" applyProtection="1">
      <alignment vertical="center"/>
    </xf>
    <xf numFmtId="6" fontId="12" fillId="12" borderId="23" xfId="0" applyNumberFormat="1" applyFont="1" applyFill="1" applyBorder="1" applyAlignment="1" applyProtection="1">
      <alignment vertical="center"/>
    </xf>
    <xf numFmtId="6" fontId="12" fillId="12" borderId="27" xfId="0" applyNumberFormat="1" applyFont="1" applyFill="1" applyBorder="1" applyAlignment="1" applyProtection="1">
      <alignment vertical="center"/>
    </xf>
    <xf numFmtId="6" fontId="16" fillId="0" borderId="29" xfId="5" applyNumberFormat="1" applyFont="1" applyFill="1" applyBorder="1" applyAlignment="1" applyProtection="1">
      <alignment vertical="center"/>
    </xf>
    <xf numFmtId="6" fontId="16" fillId="12" borderId="29" xfId="5" applyNumberFormat="1" applyFont="1" applyFill="1" applyBorder="1" applyAlignment="1" applyProtection="1">
      <alignment vertical="center"/>
    </xf>
    <xf numFmtId="6" fontId="16" fillId="5" borderId="29" xfId="5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10" fillId="12" borderId="10" xfId="0" applyFont="1" applyFill="1" applyBorder="1" applyAlignment="1" applyProtection="1">
      <alignment horizontal="center" vertical="center" wrapText="1"/>
      <protection locked="0"/>
    </xf>
    <xf numFmtId="0" fontId="13" fillId="12" borderId="10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1" fontId="20" fillId="9" borderId="28" xfId="0" applyNumberFormat="1" applyFont="1" applyFill="1" applyBorder="1" applyAlignment="1" applyProtection="1">
      <alignment horizontal="center" vertical="center"/>
    </xf>
    <xf numFmtId="1" fontId="19" fillId="9" borderId="10" xfId="0" applyNumberFormat="1" applyFont="1" applyFill="1" applyBorder="1" applyAlignment="1" applyProtection="1">
      <alignment horizontal="center" vertical="center" wrapText="1"/>
    </xf>
    <xf numFmtId="1" fontId="20" fillId="9" borderId="10" xfId="0" quotePrefix="1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6" fontId="12" fillId="12" borderId="17" xfId="0" applyNumberFormat="1" applyFont="1" applyFill="1" applyBorder="1" applyAlignment="1" applyProtection="1">
      <alignment vertical="center"/>
    </xf>
    <xf numFmtId="0" fontId="12" fillId="0" borderId="34" xfId="0" applyFont="1" applyFill="1" applyBorder="1" applyAlignment="1" applyProtection="1">
      <alignment vertical="center"/>
    </xf>
    <xf numFmtId="0" fontId="12" fillId="0" borderId="35" xfId="0" applyFont="1" applyFill="1" applyBorder="1" applyAlignment="1" applyProtection="1">
      <alignment vertical="center"/>
    </xf>
    <xf numFmtId="6" fontId="12" fillId="12" borderId="28" xfId="0" applyNumberFormat="1" applyFont="1" applyFill="1" applyBorder="1" applyAlignment="1" applyProtection="1">
      <alignment vertical="center"/>
    </xf>
    <xf numFmtId="164" fontId="17" fillId="13" borderId="10" xfId="1" applyNumberFormat="1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165" fontId="17" fillId="13" borderId="10" xfId="1" applyNumberFormat="1" applyFont="1" applyFill="1" applyBorder="1" applyAlignment="1" applyProtection="1">
      <alignment horizontal="center" vertical="center"/>
    </xf>
    <xf numFmtId="9" fontId="17" fillId="14" borderId="10" xfId="1" applyNumberFormat="1" applyFont="1" applyFill="1" applyBorder="1" applyAlignment="1" applyProtection="1">
      <alignment horizontal="center" vertical="center"/>
    </xf>
    <xf numFmtId="9" fontId="16" fillId="4" borderId="38" xfId="0" applyNumberFormat="1" applyFont="1" applyFill="1" applyBorder="1" applyAlignment="1" applyProtection="1">
      <alignment horizontal="center" vertical="center"/>
    </xf>
    <xf numFmtId="0" fontId="12" fillId="14" borderId="38" xfId="0" applyFont="1" applyFill="1" applyBorder="1" applyAlignment="1" applyProtection="1">
      <alignment vertical="center"/>
    </xf>
    <xf numFmtId="9" fontId="17" fillId="2" borderId="10" xfId="0" applyNumberFormat="1" applyFont="1" applyFill="1" applyBorder="1" applyAlignment="1" applyProtection="1">
      <alignment horizontal="center" vertical="center"/>
    </xf>
    <xf numFmtId="39" fontId="17" fillId="2" borderId="10" xfId="1" applyNumberFormat="1" applyFont="1" applyFill="1" applyBorder="1" applyAlignment="1" applyProtection="1">
      <alignment horizontal="center" vertical="center"/>
    </xf>
    <xf numFmtId="0" fontId="25" fillId="13" borderId="38" xfId="0" applyFont="1" applyFill="1" applyBorder="1" applyAlignment="1" applyProtection="1">
      <alignment horizontal="center" vertical="center" wrapText="1"/>
    </xf>
    <xf numFmtId="9" fontId="16" fillId="14" borderId="38" xfId="0" applyNumberFormat="1" applyFont="1" applyFill="1" applyBorder="1" applyAlignment="1" applyProtection="1">
      <alignment vertical="center"/>
    </xf>
    <xf numFmtId="9" fontId="16" fillId="2" borderId="38" xfId="0" applyNumberFormat="1" applyFont="1" applyFill="1" applyBorder="1" applyAlignment="1" applyProtection="1">
      <alignment vertical="center"/>
    </xf>
    <xf numFmtId="0" fontId="13" fillId="10" borderId="37" xfId="0" applyFont="1" applyFill="1" applyBorder="1" applyAlignment="1" applyProtection="1">
      <alignment horizontal="center" vertical="center" wrapText="1"/>
    </xf>
    <xf numFmtId="0" fontId="13" fillId="10" borderId="38" xfId="0" applyFont="1" applyFill="1" applyBorder="1" applyAlignment="1" applyProtection="1">
      <alignment horizontal="center" vertical="center" wrapText="1"/>
    </xf>
    <xf numFmtId="0" fontId="14" fillId="10" borderId="43" xfId="0" applyFont="1" applyFill="1" applyBorder="1" applyAlignment="1" applyProtection="1">
      <alignment horizontal="center" vertical="center" wrapText="1"/>
    </xf>
    <xf numFmtId="1" fontId="12" fillId="9" borderId="43" xfId="1" applyNumberFormat="1" applyFont="1" applyFill="1" applyBorder="1" applyAlignment="1" applyProtection="1">
      <alignment horizontal="center" vertical="center"/>
    </xf>
    <xf numFmtId="1" fontId="17" fillId="9" borderId="43" xfId="1" applyNumberFormat="1" applyFont="1" applyFill="1" applyBorder="1" applyAlignment="1" applyProtection="1">
      <alignment horizontal="center" vertical="center"/>
    </xf>
    <xf numFmtId="1" fontId="17" fillId="9" borderId="43" xfId="1" quotePrefix="1" applyNumberFormat="1" applyFont="1" applyFill="1" applyBorder="1" applyAlignment="1" applyProtection="1">
      <alignment horizontal="center" vertical="center"/>
    </xf>
    <xf numFmtId="1" fontId="19" fillId="9" borderId="10" xfId="1" applyNumberFormat="1" applyFont="1" applyFill="1" applyBorder="1" applyAlignment="1" applyProtection="1">
      <alignment horizontal="center" vertical="center"/>
    </xf>
    <xf numFmtId="1" fontId="20" fillId="9" borderId="10" xfId="1" applyNumberFormat="1" applyFont="1" applyFill="1" applyBorder="1" applyAlignment="1" applyProtection="1">
      <alignment horizontal="center" vertical="center" wrapText="1"/>
    </xf>
    <xf numFmtId="1" fontId="20" fillId="9" borderId="10" xfId="1" quotePrefix="1" applyNumberFormat="1" applyFont="1" applyFill="1" applyBorder="1" applyAlignment="1" applyProtection="1">
      <alignment horizontal="center" vertical="center" wrapText="1"/>
    </xf>
    <xf numFmtId="3" fontId="12" fillId="0" borderId="17" xfId="0" applyNumberFormat="1" applyFont="1" applyFill="1" applyBorder="1" applyAlignment="1" applyProtection="1">
      <alignment horizontal="center" vertical="center"/>
    </xf>
    <xf numFmtId="3" fontId="12" fillId="0" borderId="17" xfId="0" applyNumberFormat="1" applyFont="1" applyFill="1" applyBorder="1" applyAlignment="1" applyProtection="1">
      <alignment vertical="center"/>
    </xf>
    <xf numFmtId="38" fontId="12" fillId="0" borderId="17" xfId="0" applyNumberFormat="1" applyFont="1" applyBorder="1" applyAlignment="1" applyProtection="1">
      <alignment vertical="center"/>
    </xf>
    <xf numFmtId="166" fontId="12" fillId="0" borderId="17" xfId="0" applyNumberFormat="1" applyFont="1" applyBorder="1" applyAlignment="1" applyProtection="1">
      <alignment vertical="center"/>
    </xf>
    <xf numFmtId="38" fontId="12" fillId="0" borderId="17" xfId="1" applyNumberFormat="1" applyFont="1" applyBorder="1" applyAlignment="1" applyProtection="1">
      <alignment vertical="center"/>
    </xf>
    <xf numFmtId="167" fontId="12" fillId="0" borderId="17" xfId="3" applyNumberFormat="1" applyFont="1" applyBorder="1" applyAlignment="1" applyProtection="1">
      <alignment vertical="center"/>
    </xf>
    <xf numFmtId="6" fontId="12" fillId="0" borderId="44" xfId="0" applyNumberFormat="1" applyFont="1" applyBorder="1" applyAlignment="1" applyProtection="1">
      <alignment vertical="center"/>
    </xf>
    <xf numFmtId="6" fontId="12" fillId="13" borderId="44" xfId="0" applyNumberFormat="1" applyFont="1" applyFill="1" applyBorder="1" applyAlignment="1" applyProtection="1">
      <alignment vertical="center"/>
    </xf>
    <xf numFmtId="10" fontId="12" fillId="0" borderId="44" xfId="0" applyNumberFormat="1" applyFont="1" applyBorder="1" applyAlignment="1" applyProtection="1">
      <alignment vertical="center"/>
    </xf>
    <xf numFmtId="6" fontId="12" fillId="0" borderId="44" xfId="2" applyNumberFormat="1" applyFont="1" applyBorder="1" applyAlignment="1" applyProtection="1">
      <alignment vertical="center"/>
    </xf>
    <xf numFmtId="6" fontId="12" fillId="0" borderId="17" xfId="0" applyNumberFormat="1" applyFont="1" applyBorder="1" applyAlignment="1" applyProtection="1">
      <alignment vertical="center"/>
    </xf>
    <xf numFmtId="6" fontId="12" fillId="13" borderId="17" xfId="0" applyNumberFormat="1" applyFont="1" applyFill="1" applyBorder="1" applyAlignment="1" applyProtection="1">
      <alignment vertical="center"/>
    </xf>
    <xf numFmtId="10" fontId="12" fillId="0" borderId="17" xfId="3" applyNumberFormat="1" applyFont="1" applyBorder="1" applyAlignment="1" applyProtection="1">
      <alignment vertical="center"/>
    </xf>
    <xf numFmtId="6" fontId="12" fillId="13" borderId="17" xfId="1" applyNumberFormat="1" applyFont="1" applyFill="1" applyBorder="1" applyAlignment="1" applyProtection="1">
      <alignment vertical="center"/>
    </xf>
    <xf numFmtId="6" fontId="12" fillId="0" borderId="17" xfId="1" applyNumberFormat="1" applyFont="1" applyBorder="1" applyAlignment="1" applyProtection="1">
      <alignment vertical="center"/>
    </xf>
    <xf numFmtId="164" fontId="12" fillId="0" borderId="17" xfId="1" applyNumberFormat="1" applyFont="1" applyBorder="1" applyAlignment="1" applyProtection="1">
      <alignment vertical="center"/>
    </xf>
    <xf numFmtId="38" fontId="12" fillId="0" borderId="17" xfId="0" applyNumberFormat="1" applyFont="1" applyFill="1" applyBorder="1" applyAlignment="1" applyProtection="1">
      <alignment vertical="center"/>
    </xf>
    <xf numFmtId="3" fontId="12" fillId="0" borderId="43" xfId="0" applyNumberFormat="1" applyFont="1" applyFill="1" applyBorder="1" applyAlignment="1" applyProtection="1">
      <alignment horizontal="center" vertical="center"/>
    </xf>
    <xf numFmtId="3" fontId="12" fillId="0" borderId="43" xfId="0" applyNumberFormat="1" applyFont="1" applyFill="1" applyBorder="1" applyAlignment="1" applyProtection="1">
      <alignment vertical="center"/>
    </xf>
    <xf numFmtId="38" fontId="12" fillId="0" borderId="43" xfId="0" applyNumberFormat="1" applyFont="1" applyFill="1" applyBorder="1" applyAlignment="1" applyProtection="1">
      <alignment vertical="center"/>
    </xf>
    <xf numFmtId="38" fontId="12" fillId="0" borderId="43" xfId="0" applyNumberFormat="1" applyFont="1" applyBorder="1" applyAlignment="1" applyProtection="1">
      <alignment vertical="center"/>
    </xf>
    <xf numFmtId="166" fontId="12" fillId="0" borderId="43" xfId="0" applyNumberFormat="1" applyFont="1" applyBorder="1" applyAlignment="1" applyProtection="1">
      <alignment vertical="center"/>
    </xf>
    <xf numFmtId="167" fontId="12" fillId="0" borderId="43" xfId="3" applyNumberFormat="1" applyFont="1" applyBorder="1" applyAlignment="1" applyProtection="1">
      <alignment vertical="center"/>
    </xf>
    <xf numFmtId="38" fontId="12" fillId="0" borderId="45" xfId="0" applyNumberFormat="1" applyFont="1" applyBorder="1" applyAlignment="1" applyProtection="1">
      <alignment vertical="center"/>
    </xf>
    <xf numFmtId="6" fontId="12" fillId="0" borderId="42" xfId="0" applyNumberFormat="1" applyFont="1" applyBorder="1" applyAlignment="1" applyProtection="1">
      <alignment vertical="center"/>
    </xf>
    <xf numFmtId="6" fontId="12" fillId="13" borderId="42" xfId="0" applyNumberFormat="1" applyFont="1" applyFill="1" applyBorder="1" applyAlignment="1" applyProtection="1">
      <alignment vertical="center"/>
    </xf>
    <xf numFmtId="10" fontId="12" fillId="0" borderId="43" xfId="0" applyNumberFormat="1" applyFont="1" applyBorder="1" applyAlignment="1" applyProtection="1">
      <alignment vertical="center"/>
    </xf>
    <xf numFmtId="10" fontId="12" fillId="0" borderId="42" xfId="0" applyNumberFormat="1" applyFont="1" applyBorder="1" applyAlignment="1" applyProtection="1">
      <alignment vertical="center"/>
    </xf>
    <xf numFmtId="6" fontId="12" fillId="0" borderId="42" xfId="2" applyNumberFormat="1" applyFont="1" applyBorder="1" applyAlignment="1" applyProtection="1">
      <alignment vertical="center"/>
    </xf>
    <xf numFmtId="6" fontId="12" fillId="0" borderId="43" xfId="0" applyNumberFormat="1" applyFont="1" applyBorder="1" applyAlignment="1" applyProtection="1">
      <alignment vertical="center"/>
    </xf>
    <xf numFmtId="6" fontId="12" fillId="13" borderId="43" xfId="0" applyNumberFormat="1" applyFont="1" applyFill="1" applyBorder="1" applyAlignment="1" applyProtection="1">
      <alignment vertical="center"/>
    </xf>
    <xf numFmtId="10" fontId="12" fillId="0" borderId="43" xfId="3" applyNumberFormat="1" applyFont="1" applyBorder="1" applyAlignment="1" applyProtection="1">
      <alignment vertical="center"/>
    </xf>
    <xf numFmtId="6" fontId="12" fillId="13" borderId="43" xfId="1" applyNumberFormat="1" applyFont="1" applyFill="1" applyBorder="1" applyAlignment="1" applyProtection="1">
      <alignment vertical="center"/>
    </xf>
    <xf numFmtId="6" fontId="12" fillId="0" borderId="43" xfId="1" applyNumberFormat="1" applyFont="1" applyBorder="1" applyAlignment="1" applyProtection="1">
      <alignment vertical="center"/>
    </xf>
    <xf numFmtId="164" fontId="12" fillId="0" borderId="43" xfId="1" applyNumberFormat="1" applyFont="1" applyBorder="1" applyAlignment="1" applyProtection="1">
      <alignment vertical="center"/>
    </xf>
    <xf numFmtId="6" fontId="12" fillId="0" borderId="44" xfId="0" applyNumberFormat="1" applyFont="1" applyFill="1" applyBorder="1" applyAlignment="1" applyProtection="1">
      <alignment vertical="center"/>
    </xf>
    <xf numFmtId="6" fontId="12" fillId="4" borderId="44" xfId="0" applyNumberFormat="1" applyFont="1" applyFill="1" applyBorder="1" applyAlignment="1" applyProtection="1">
      <alignment vertical="center"/>
    </xf>
    <xf numFmtId="38" fontId="16" fillId="0" borderId="29" xfId="0" applyNumberFormat="1" applyFont="1" applyFill="1" applyBorder="1" applyAlignment="1" applyProtection="1">
      <alignment vertical="center"/>
    </xf>
    <xf numFmtId="166" fontId="16" fillId="0" borderId="29" xfId="0" applyNumberFormat="1" applyFont="1" applyFill="1" applyBorder="1" applyAlignment="1" applyProtection="1">
      <alignment vertical="center"/>
    </xf>
    <xf numFmtId="3" fontId="16" fillId="0" borderId="29" xfId="0" applyNumberFormat="1" applyFont="1" applyFill="1" applyBorder="1" applyAlignment="1" applyProtection="1">
      <alignment vertical="center"/>
    </xf>
    <xf numFmtId="6" fontId="16" fillId="0" borderId="29" xfId="0" applyNumberFormat="1" applyFont="1" applyBorder="1" applyAlignment="1" applyProtection="1">
      <alignment vertical="center"/>
    </xf>
    <xf numFmtId="6" fontId="16" fillId="13" borderId="29" xfId="0" applyNumberFormat="1" applyFont="1" applyFill="1" applyBorder="1" applyAlignment="1" applyProtection="1">
      <alignment vertical="center"/>
    </xf>
    <xf numFmtId="10" fontId="16" fillId="13" borderId="29" xfId="0" applyNumberFormat="1" applyFont="1" applyFill="1" applyBorder="1" applyAlignment="1" applyProtection="1">
      <alignment vertical="center"/>
    </xf>
    <xf numFmtId="6" fontId="16" fillId="0" borderId="29" xfId="2" applyNumberFormat="1" applyFont="1" applyBorder="1" applyAlignment="1" applyProtection="1">
      <alignment vertical="center"/>
    </xf>
    <xf numFmtId="10" fontId="16" fillId="0" borderId="29" xfId="3" applyNumberFormat="1" applyFont="1" applyBorder="1" applyAlignment="1" applyProtection="1">
      <alignment vertical="center"/>
    </xf>
    <xf numFmtId="165" fontId="16" fillId="0" borderId="29" xfId="0" applyNumberFormat="1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3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8" fontId="12" fillId="0" borderId="0" xfId="0" applyNumberFormat="1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5" fontId="12" fillId="0" borderId="0" xfId="0" applyNumberFormat="1" applyFont="1" applyAlignment="1" applyProtection="1">
      <alignment vertical="center"/>
    </xf>
    <xf numFmtId="7" fontId="12" fillId="0" borderId="0" xfId="2" applyNumberFormat="1" applyFont="1" applyFill="1" applyAlignment="1" applyProtection="1">
      <alignment horizontal="center" vertical="center"/>
    </xf>
    <xf numFmtId="7" fontId="12" fillId="0" borderId="0" xfId="2" applyNumberFormat="1" applyFont="1" applyFill="1" applyAlignment="1" applyProtection="1">
      <alignment vertical="center"/>
    </xf>
    <xf numFmtId="3" fontId="12" fillId="0" borderId="24" xfId="0" applyNumberFormat="1" applyFont="1" applyBorder="1" applyAlignment="1" applyProtection="1">
      <alignment vertical="center"/>
    </xf>
    <xf numFmtId="4" fontId="12" fillId="0" borderId="0" xfId="0" applyNumberFormat="1" applyFont="1" applyBorder="1" applyAlignment="1" applyProtection="1">
      <alignment vertical="center"/>
    </xf>
    <xf numFmtId="7" fontId="17" fillId="0" borderId="0" xfId="2" quotePrefix="1" applyNumberFormat="1" applyFont="1" applyFill="1" applyAlignment="1" applyProtection="1">
      <alignment horizontal="center" vertical="center"/>
    </xf>
    <xf numFmtId="7" fontId="12" fillId="0" borderId="0" xfId="2" applyNumberFormat="1" applyFont="1" applyAlignment="1" applyProtection="1">
      <alignment vertical="center"/>
    </xf>
    <xf numFmtId="7" fontId="26" fillId="0" borderId="0" xfId="2" applyNumberFormat="1" applyFont="1" applyAlignment="1" applyProtection="1">
      <alignment vertical="center" wrapText="1"/>
    </xf>
    <xf numFmtId="10" fontId="12" fillId="0" borderId="0" xfId="3" applyNumberFormat="1" applyFont="1" applyAlignment="1" applyProtection="1">
      <alignment vertical="center"/>
    </xf>
    <xf numFmtId="6" fontId="12" fillId="0" borderId="0" xfId="2" applyNumberFormat="1" applyFont="1" applyBorder="1" applyAlignment="1" applyProtection="1">
      <alignment horizontal="right" vertical="center"/>
    </xf>
    <xf numFmtId="7" fontId="12" fillId="0" borderId="0" xfId="2" applyNumberFormat="1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38" fontId="12" fillId="0" borderId="0" xfId="0" applyNumberFormat="1" applyFont="1" applyAlignment="1" applyProtection="1">
      <alignment vertical="center"/>
    </xf>
    <xf numFmtId="10" fontId="12" fillId="0" borderId="0" xfId="3" applyNumberFormat="1" applyFont="1" applyFill="1" applyAlignment="1" applyProtection="1">
      <alignment vertical="center"/>
    </xf>
    <xf numFmtId="169" fontId="12" fillId="0" borderId="0" xfId="1" applyNumberFormat="1" applyFont="1" applyAlignment="1" applyProtection="1">
      <alignment vertical="center"/>
    </xf>
    <xf numFmtId="6" fontId="12" fillId="0" borderId="0" xfId="0" applyNumberFormat="1" applyFont="1" applyBorder="1" applyAlignment="1" applyProtection="1">
      <alignment horizontal="right" vertical="center"/>
    </xf>
    <xf numFmtId="6" fontId="27" fillId="0" borderId="0" xfId="0" applyNumberFormat="1" applyFont="1" applyFill="1" applyBorder="1" applyAlignment="1" applyProtection="1">
      <alignment horizontal="center" vertical="center" wrapText="1"/>
    </xf>
    <xf numFmtId="8" fontId="10" fillId="10" borderId="10" xfId="0" applyNumberFormat="1" applyFont="1" applyFill="1" applyBorder="1" applyAlignment="1" applyProtection="1">
      <alignment horizontal="center" vertical="center" wrapText="1"/>
    </xf>
    <xf numFmtId="6" fontId="10" fillId="10" borderId="10" xfId="0" applyNumberFormat="1" applyFont="1" applyFill="1" applyBorder="1" applyAlignment="1" applyProtection="1">
      <alignment horizontal="center" vertical="center" wrapText="1"/>
    </xf>
    <xf numFmtId="1" fontId="12" fillId="9" borderId="10" xfId="0" applyNumberFormat="1" applyFont="1" applyFill="1" applyBorder="1" applyAlignment="1" applyProtection="1">
      <alignment vertical="center"/>
    </xf>
    <xf numFmtId="1" fontId="16" fillId="9" borderId="10" xfId="0" applyNumberFormat="1" applyFont="1" applyFill="1" applyBorder="1" applyAlignment="1" applyProtection="1">
      <alignment vertical="center"/>
    </xf>
    <xf numFmtId="1" fontId="17" fillId="9" borderId="46" xfId="0" quotePrefix="1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Alignment="1" applyProtection="1">
      <alignment vertical="center"/>
    </xf>
    <xf numFmtId="1" fontId="19" fillId="9" borderId="10" xfId="0" applyNumberFormat="1" applyFont="1" applyFill="1" applyBorder="1" applyAlignment="1" applyProtection="1">
      <alignment vertical="center"/>
    </xf>
    <xf numFmtId="1" fontId="19" fillId="0" borderId="0" xfId="0" applyNumberFormat="1" applyFont="1" applyAlignment="1" applyProtection="1">
      <alignment vertical="center"/>
    </xf>
    <xf numFmtId="6" fontId="12" fillId="0" borderId="17" xfId="1" applyNumberFormat="1" applyFont="1" applyFill="1" applyBorder="1" applyAlignment="1" applyProtection="1">
      <alignment vertical="center"/>
    </xf>
    <xf numFmtId="38" fontId="12" fillId="0" borderId="17" xfId="1" applyNumberFormat="1" applyFont="1" applyFill="1" applyBorder="1" applyAlignment="1" applyProtection="1">
      <alignment vertical="center"/>
    </xf>
    <xf numFmtId="6" fontId="12" fillId="0" borderId="23" xfId="1" applyNumberFormat="1" applyFont="1" applyFill="1" applyBorder="1" applyAlignment="1" applyProtection="1">
      <alignment vertical="center"/>
    </xf>
    <xf numFmtId="38" fontId="12" fillId="0" borderId="23" xfId="1" applyNumberFormat="1" applyFont="1" applyFill="1" applyBorder="1" applyAlignment="1" applyProtection="1">
      <alignment vertical="center"/>
    </xf>
    <xf numFmtId="6" fontId="12" fillId="0" borderId="47" xfId="0" applyNumberFormat="1" applyFont="1" applyFill="1" applyBorder="1" applyAlignment="1" applyProtection="1">
      <alignment vertical="center"/>
    </xf>
    <xf numFmtId="6" fontId="12" fillId="0" borderId="28" xfId="1" applyNumberFormat="1" applyFont="1" applyFill="1" applyBorder="1" applyAlignment="1" applyProtection="1">
      <alignment vertical="center"/>
    </xf>
    <xf numFmtId="38" fontId="12" fillId="0" borderId="28" xfId="1" applyNumberFormat="1" applyFont="1" applyFill="1" applyBorder="1" applyAlignment="1" applyProtection="1">
      <alignment vertical="center"/>
    </xf>
    <xf numFmtId="0" fontId="16" fillId="0" borderId="48" xfId="0" applyFont="1" applyFill="1" applyBorder="1" applyAlignment="1" applyProtection="1">
      <alignment vertical="center"/>
    </xf>
    <xf numFmtId="0" fontId="16" fillId="0" borderId="49" xfId="0" applyFont="1" applyFill="1" applyBorder="1" applyAlignment="1" applyProtection="1">
      <alignment horizontal="center" vertical="center"/>
    </xf>
    <xf numFmtId="6" fontId="16" fillId="0" borderId="29" xfId="0" applyNumberFormat="1" applyFont="1" applyFill="1" applyBorder="1" applyAlignment="1" applyProtection="1">
      <alignment vertical="center"/>
    </xf>
    <xf numFmtId="6" fontId="29" fillId="0" borderId="29" xfId="0" applyNumberFormat="1" applyFont="1" applyFill="1" applyBorder="1" applyAlignment="1" applyProtection="1">
      <alignment vertical="center"/>
    </xf>
    <xf numFmtId="38" fontId="29" fillId="0" borderId="29" xfId="1" applyNumberFormat="1" applyFont="1" applyFill="1" applyBorder="1" applyAlignment="1" applyProtection="1">
      <alignment vertical="center"/>
    </xf>
    <xf numFmtId="38" fontId="16" fillId="0" borderId="29" xfId="1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8" applyProtection="1"/>
    <xf numFmtId="0" fontId="13" fillId="5" borderId="10" xfId="9" applyFont="1" applyFill="1" applyBorder="1" applyAlignment="1" applyProtection="1">
      <alignment horizontal="center" vertical="center" wrapText="1"/>
    </xf>
    <xf numFmtId="0" fontId="13" fillId="12" borderId="10" xfId="8" applyFont="1" applyFill="1" applyBorder="1" applyAlignment="1" applyProtection="1">
      <alignment horizontal="center" vertical="center" wrapText="1"/>
    </xf>
    <xf numFmtId="0" fontId="13" fillId="3" borderId="10" xfId="8" applyFont="1" applyFill="1" applyBorder="1" applyAlignment="1" applyProtection="1">
      <alignment horizontal="center" vertical="center" wrapText="1"/>
    </xf>
    <xf numFmtId="0" fontId="13" fillId="22" borderId="10" xfId="8" applyFont="1" applyFill="1" applyBorder="1" applyAlignment="1" applyProtection="1">
      <alignment horizontal="center" vertical="center" wrapText="1"/>
    </xf>
    <xf numFmtId="0" fontId="10" fillId="23" borderId="10" xfId="10" applyFont="1" applyFill="1" applyBorder="1" applyAlignment="1">
      <alignment horizontal="center" vertical="center" wrapText="1"/>
    </xf>
    <xf numFmtId="6" fontId="10" fillId="23" borderId="10" xfId="10" applyNumberFormat="1" applyFont="1" applyFill="1" applyBorder="1" applyAlignment="1">
      <alignment horizontal="center" vertical="center" wrapText="1"/>
    </xf>
    <xf numFmtId="170" fontId="10" fillId="23" borderId="10" xfId="10" applyNumberFormat="1" applyFont="1" applyFill="1" applyBorder="1" applyAlignment="1">
      <alignment horizontal="center" vertical="center" wrapText="1"/>
    </xf>
    <xf numFmtId="0" fontId="10" fillId="24" borderId="10" xfId="10" applyFont="1" applyFill="1" applyBorder="1" applyAlignment="1">
      <alignment horizontal="center" vertical="center" wrapText="1"/>
    </xf>
    <xf numFmtId="0" fontId="13" fillId="24" borderId="10" xfId="8" applyFont="1" applyFill="1" applyBorder="1" applyAlignment="1" applyProtection="1">
      <alignment horizontal="center" vertical="center" wrapText="1"/>
    </xf>
    <xf numFmtId="6" fontId="10" fillId="24" borderId="10" xfId="10" applyNumberFormat="1" applyFont="1" applyFill="1" applyBorder="1" applyAlignment="1">
      <alignment horizontal="center" vertical="center" wrapText="1"/>
    </xf>
    <xf numFmtId="165" fontId="10" fillId="17" borderId="10" xfId="9" applyNumberFormat="1" applyFont="1" applyFill="1" applyBorder="1" applyAlignment="1" applyProtection="1">
      <alignment horizontal="center" vertical="center" wrapText="1"/>
    </xf>
    <xf numFmtId="165" fontId="10" fillId="11" borderId="10" xfId="8" applyNumberFormat="1" applyFont="1" applyFill="1" applyBorder="1" applyAlignment="1" applyProtection="1">
      <alignment horizontal="center" vertical="center" wrapText="1"/>
    </xf>
    <xf numFmtId="6" fontId="13" fillId="4" borderId="10" xfId="8" applyNumberFormat="1" applyFont="1" applyFill="1" applyBorder="1" applyAlignment="1" applyProtection="1">
      <alignment horizontal="center" vertical="center" wrapText="1"/>
    </xf>
    <xf numFmtId="165" fontId="10" fillId="25" borderId="10" xfId="8" applyNumberFormat="1" applyFont="1" applyFill="1" applyBorder="1" applyAlignment="1" applyProtection="1">
      <alignment horizontal="center" vertical="center" wrapText="1"/>
    </xf>
    <xf numFmtId="6" fontId="13" fillId="19" borderId="10" xfId="8" applyNumberFormat="1" applyFont="1" applyFill="1" applyBorder="1" applyAlignment="1" applyProtection="1">
      <alignment horizontal="center" vertical="center" wrapText="1"/>
    </xf>
    <xf numFmtId="0" fontId="10" fillId="20" borderId="10" xfId="10" applyFont="1" applyFill="1" applyBorder="1" applyAlignment="1">
      <alignment horizontal="center" vertical="center" wrapText="1"/>
    </xf>
    <xf numFmtId="6" fontId="10" fillId="20" borderId="10" xfId="10" applyNumberFormat="1" applyFont="1" applyFill="1" applyBorder="1" applyAlignment="1">
      <alignment horizontal="center" vertical="center" wrapText="1"/>
    </xf>
    <xf numFmtId="170" fontId="10" fillId="20" borderId="10" xfId="10" applyNumberFormat="1" applyFont="1" applyFill="1" applyBorder="1" applyAlignment="1">
      <alignment horizontal="center" vertical="center" wrapText="1"/>
    </xf>
    <xf numFmtId="165" fontId="10" fillId="21" borderId="10" xfId="8" applyNumberFormat="1" applyFont="1" applyFill="1" applyBorder="1" applyAlignment="1" applyProtection="1">
      <alignment horizontal="center" vertical="center" wrapText="1"/>
    </xf>
    <xf numFmtId="170" fontId="10" fillId="21" borderId="10" xfId="3" applyNumberFormat="1" applyFont="1" applyFill="1" applyBorder="1" applyAlignment="1" applyProtection="1">
      <alignment horizontal="center" vertical="center" wrapText="1"/>
    </xf>
    <xf numFmtId="1" fontId="12" fillId="9" borderId="11" xfId="8" applyNumberFormat="1" applyFont="1" applyFill="1" applyBorder="1" applyAlignment="1" applyProtection="1">
      <alignment horizontal="center"/>
    </xf>
    <xf numFmtId="1" fontId="12" fillId="9" borderId="12" xfId="8" applyNumberFormat="1" applyFont="1" applyFill="1" applyBorder="1" applyAlignment="1" applyProtection="1">
      <alignment horizontal="center"/>
    </xf>
    <xf numFmtId="1" fontId="16" fillId="9" borderId="13" xfId="8" applyNumberFormat="1" applyFont="1" applyFill="1" applyBorder="1" applyProtection="1"/>
    <xf numFmtId="1" fontId="17" fillId="9" borderId="10" xfId="8" quotePrefix="1" applyNumberFormat="1" applyFont="1" applyFill="1" applyBorder="1" applyAlignment="1" applyProtection="1">
      <alignment horizontal="center"/>
    </xf>
    <xf numFmtId="1" fontId="19" fillId="9" borderId="36" xfId="8" applyNumberFormat="1" applyFont="1" applyFill="1" applyBorder="1" applyAlignment="1" applyProtection="1">
      <alignment horizontal="center"/>
    </xf>
    <xf numFmtId="1" fontId="19" fillId="9" borderId="50" xfId="8" applyNumberFormat="1" applyFont="1" applyFill="1" applyBorder="1" applyAlignment="1" applyProtection="1">
      <alignment horizontal="center"/>
    </xf>
    <xf numFmtId="1" fontId="19" fillId="9" borderId="37" xfId="8" applyNumberFormat="1" applyFont="1" applyFill="1" applyBorder="1" applyProtection="1"/>
    <xf numFmtId="1" fontId="20" fillId="9" borderId="38" xfId="8" quotePrefix="1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8" applyFont="1" applyProtection="1"/>
    <xf numFmtId="0" fontId="12" fillId="0" borderId="51" xfId="8" applyFont="1" applyFill="1" applyBorder="1" applyAlignment="1" applyProtection="1">
      <alignment horizontal="center" vertical="center"/>
    </xf>
    <xf numFmtId="0" fontId="12" fillId="0" borderId="52" xfId="8" applyFont="1" applyFill="1" applyBorder="1" applyAlignment="1" applyProtection="1">
      <alignment horizontal="center" vertical="center"/>
    </xf>
    <xf numFmtId="0" fontId="12" fillId="0" borderId="53" xfId="8" applyFont="1" applyFill="1" applyBorder="1" applyAlignment="1" applyProtection="1">
      <alignment vertical="center"/>
    </xf>
    <xf numFmtId="38" fontId="12" fillId="0" borderId="54" xfId="9" applyNumberFormat="1" applyFont="1" applyFill="1" applyBorder="1" applyAlignment="1" applyProtection="1">
      <alignment vertical="center"/>
    </xf>
    <xf numFmtId="6" fontId="12" fillId="5" borderId="54" xfId="8" applyNumberFormat="1" applyFont="1" applyFill="1" applyBorder="1" applyAlignment="1" applyProtection="1">
      <alignment vertical="center"/>
    </xf>
    <xf numFmtId="6" fontId="12" fillId="0" borderId="54" xfId="8" applyNumberFormat="1" applyFont="1" applyFill="1" applyBorder="1" applyAlignment="1" applyProtection="1">
      <alignment vertical="center"/>
    </xf>
    <xf numFmtId="6" fontId="12" fillId="12" borderId="54" xfId="8" applyNumberFormat="1" applyFont="1" applyFill="1" applyBorder="1" applyAlignment="1" applyProtection="1">
      <alignment vertical="center"/>
    </xf>
    <xf numFmtId="166" fontId="12" fillId="0" borderId="54" xfId="9" applyNumberFormat="1" applyFont="1" applyFill="1" applyBorder="1" applyAlignment="1" applyProtection="1">
      <alignment vertical="center"/>
    </xf>
    <xf numFmtId="6" fontId="12" fillId="3" borderId="54" xfId="8" applyNumberFormat="1" applyFont="1" applyFill="1" applyBorder="1" applyAlignment="1" applyProtection="1">
      <alignment vertical="center"/>
    </xf>
    <xf numFmtId="6" fontId="12" fillId="18" borderId="54" xfId="8" applyNumberFormat="1" applyFont="1" applyFill="1" applyBorder="1" applyAlignment="1" applyProtection="1">
      <alignment vertical="center"/>
    </xf>
    <xf numFmtId="6" fontId="12" fillId="22" borderId="54" xfId="8" applyNumberFormat="1" applyFont="1" applyFill="1" applyBorder="1" applyAlignment="1" applyProtection="1">
      <alignment vertical="center"/>
    </xf>
    <xf numFmtId="40" fontId="32" fillId="0" borderId="54" xfId="8" applyNumberFormat="1" applyFont="1" applyFill="1" applyBorder="1" applyAlignment="1" applyProtection="1">
      <alignment vertical="center"/>
    </xf>
    <xf numFmtId="6" fontId="32" fillId="0" borderId="54" xfId="8" applyNumberFormat="1" applyFont="1" applyFill="1" applyBorder="1" applyAlignment="1" applyProtection="1">
      <alignment vertical="center"/>
    </xf>
    <xf numFmtId="6" fontId="12" fillId="23" borderId="54" xfId="8" applyNumberFormat="1" applyFont="1" applyFill="1" applyBorder="1" applyAlignment="1" applyProtection="1">
      <alignment vertical="center"/>
    </xf>
    <xf numFmtId="6" fontId="32" fillId="24" borderId="54" xfId="8" applyNumberFormat="1" applyFont="1" applyFill="1" applyBorder="1" applyAlignment="1" applyProtection="1">
      <alignment vertical="center"/>
    </xf>
    <xf numFmtId="6" fontId="16" fillId="6" borderId="54" xfId="8" applyNumberFormat="1" applyFont="1" applyFill="1" applyBorder="1" applyAlignment="1" applyProtection="1">
      <alignment vertical="center"/>
    </xf>
    <xf numFmtId="0" fontId="12" fillId="0" borderId="55" xfId="8" applyFont="1" applyFill="1" applyBorder="1" applyAlignment="1" applyProtection="1">
      <alignment horizontal="center" vertical="center"/>
    </xf>
    <xf numFmtId="0" fontId="12" fillId="0" borderId="56" xfId="8" applyFont="1" applyFill="1" applyBorder="1" applyAlignment="1" applyProtection="1">
      <alignment horizontal="center" vertical="center"/>
    </xf>
    <xf numFmtId="0" fontId="12" fillId="0" borderId="57" xfId="8" applyFont="1" applyFill="1" applyBorder="1" applyAlignment="1" applyProtection="1">
      <alignment vertical="center"/>
    </xf>
    <xf numFmtId="38" fontId="12" fillId="0" borderId="58" xfId="9" applyNumberFormat="1" applyFont="1" applyFill="1" applyBorder="1" applyAlignment="1" applyProtection="1">
      <alignment vertical="center"/>
    </xf>
    <xf numFmtId="6" fontId="12" fillId="5" borderId="58" xfId="8" applyNumberFormat="1" applyFont="1" applyFill="1" applyBorder="1" applyAlignment="1" applyProtection="1">
      <alignment vertical="center"/>
    </xf>
    <xf numFmtId="6" fontId="12" fillId="0" borderId="58" xfId="8" applyNumberFormat="1" applyFont="1" applyFill="1" applyBorder="1" applyAlignment="1" applyProtection="1">
      <alignment vertical="center"/>
    </xf>
    <xf numFmtId="6" fontId="12" fillId="12" borderId="58" xfId="8" applyNumberFormat="1" applyFont="1" applyFill="1" applyBorder="1" applyAlignment="1" applyProtection="1">
      <alignment vertical="center"/>
    </xf>
    <xf numFmtId="166" fontId="12" fillId="0" borderId="58" xfId="9" applyNumberFormat="1" applyFont="1" applyFill="1" applyBorder="1" applyAlignment="1" applyProtection="1">
      <alignment vertical="center"/>
    </xf>
    <xf numFmtId="6" fontId="12" fillId="3" borderId="58" xfId="8" applyNumberFormat="1" applyFont="1" applyFill="1" applyBorder="1" applyAlignment="1" applyProtection="1">
      <alignment vertical="center"/>
    </xf>
    <xf numFmtId="6" fontId="12" fillId="18" borderId="58" xfId="8" applyNumberFormat="1" applyFont="1" applyFill="1" applyBorder="1" applyAlignment="1" applyProtection="1">
      <alignment vertical="center"/>
    </xf>
    <xf numFmtId="6" fontId="12" fillId="22" borderId="58" xfId="8" applyNumberFormat="1" applyFont="1" applyFill="1" applyBorder="1" applyAlignment="1" applyProtection="1">
      <alignment vertical="center"/>
    </xf>
    <xf numFmtId="40" fontId="32" fillId="0" borderId="58" xfId="8" applyNumberFormat="1" applyFont="1" applyFill="1" applyBorder="1" applyAlignment="1" applyProtection="1">
      <alignment vertical="center"/>
    </xf>
    <xf numFmtId="6" fontId="32" fillId="0" borderId="58" xfId="8" applyNumberFormat="1" applyFont="1" applyFill="1" applyBorder="1" applyAlignment="1" applyProtection="1">
      <alignment vertical="center"/>
    </xf>
    <xf numFmtId="6" fontId="12" fillId="23" borderId="58" xfId="8" applyNumberFormat="1" applyFont="1" applyFill="1" applyBorder="1" applyAlignment="1" applyProtection="1">
      <alignment vertical="center"/>
    </xf>
    <xf numFmtId="6" fontId="32" fillId="24" borderId="58" xfId="8" applyNumberFormat="1" applyFont="1" applyFill="1" applyBorder="1" applyAlignment="1" applyProtection="1">
      <alignment vertical="center"/>
    </xf>
    <xf numFmtId="6" fontId="16" fillId="6" borderId="58" xfId="8" applyNumberFormat="1" applyFont="1" applyFill="1" applyBorder="1" applyAlignment="1" applyProtection="1">
      <alignment vertical="center"/>
    </xf>
    <xf numFmtId="0" fontId="12" fillId="0" borderId="59" xfId="8" applyFont="1" applyFill="1" applyBorder="1" applyAlignment="1" applyProtection="1">
      <alignment horizontal="center" vertical="center"/>
    </xf>
    <xf numFmtId="0" fontId="12" fillId="0" borderId="60" xfId="8" applyFont="1" applyFill="1" applyBorder="1" applyAlignment="1" applyProtection="1">
      <alignment horizontal="center" vertical="center"/>
    </xf>
    <xf numFmtId="0" fontId="12" fillId="0" borderId="61" xfId="8" applyFont="1" applyFill="1" applyBorder="1" applyAlignment="1" applyProtection="1">
      <alignment horizontal="center" vertical="center"/>
    </xf>
    <xf numFmtId="0" fontId="12" fillId="0" borderId="62" xfId="8" applyFont="1" applyFill="1" applyBorder="1" applyAlignment="1" applyProtection="1">
      <alignment vertical="center"/>
    </xf>
    <xf numFmtId="38" fontId="12" fillId="0" borderId="43" xfId="9" applyNumberFormat="1" applyFont="1" applyFill="1" applyBorder="1" applyAlignment="1" applyProtection="1">
      <alignment vertical="center"/>
    </xf>
    <xf numFmtId="6" fontId="12" fillId="5" borderId="43" xfId="8" applyNumberFormat="1" applyFont="1" applyFill="1" applyBorder="1" applyAlignment="1" applyProtection="1">
      <alignment vertical="center"/>
    </xf>
    <xf numFmtId="6" fontId="12" fillId="0" borderId="43" xfId="8" applyNumberFormat="1" applyFont="1" applyFill="1" applyBorder="1" applyAlignment="1" applyProtection="1">
      <alignment vertical="center"/>
    </xf>
    <xf numFmtId="6" fontId="12" fillId="12" borderId="43" xfId="8" applyNumberFormat="1" applyFont="1" applyFill="1" applyBorder="1" applyAlignment="1" applyProtection="1">
      <alignment vertical="center"/>
    </xf>
    <xf numFmtId="166" fontId="12" fillId="0" borderId="43" xfId="9" applyNumberFormat="1" applyFont="1" applyFill="1" applyBorder="1" applyAlignment="1" applyProtection="1">
      <alignment vertical="center"/>
    </xf>
    <xf numFmtId="6" fontId="12" fillId="3" borderId="43" xfId="8" applyNumberFormat="1" applyFont="1" applyFill="1" applyBorder="1" applyAlignment="1" applyProtection="1">
      <alignment vertical="center"/>
    </xf>
    <xf numFmtId="6" fontId="12" fillId="18" borderId="43" xfId="8" applyNumberFormat="1" applyFont="1" applyFill="1" applyBorder="1" applyAlignment="1" applyProtection="1">
      <alignment vertical="center"/>
    </xf>
    <xf numFmtId="6" fontId="12" fillId="22" borderId="43" xfId="8" applyNumberFormat="1" applyFont="1" applyFill="1" applyBorder="1" applyAlignment="1" applyProtection="1">
      <alignment vertical="center"/>
    </xf>
    <xf numFmtId="40" fontId="32" fillId="0" borderId="43" xfId="8" applyNumberFormat="1" applyFont="1" applyFill="1" applyBorder="1" applyAlignment="1" applyProtection="1">
      <alignment vertical="center"/>
    </xf>
    <xf numFmtId="6" fontId="32" fillId="0" borderId="43" xfId="8" applyNumberFormat="1" applyFont="1" applyFill="1" applyBorder="1" applyAlignment="1" applyProtection="1">
      <alignment vertical="center"/>
    </xf>
    <xf numFmtId="6" fontId="12" fillId="23" borderId="43" xfId="8" applyNumberFormat="1" applyFont="1" applyFill="1" applyBorder="1" applyAlignment="1" applyProtection="1">
      <alignment vertical="center"/>
    </xf>
    <xf numFmtId="6" fontId="32" fillId="24" borderId="43" xfId="8" applyNumberFormat="1" applyFont="1" applyFill="1" applyBorder="1" applyAlignment="1" applyProtection="1">
      <alignment vertical="center"/>
    </xf>
    <xf numFmtId="6" fontId="16" fillId="6" borderId="43" xfId="8" applyNumberFormat="1" applyFont="1" applyFill="1" applyBorder="1" applyAlignment="1" applyProtection="1">
      <alignment vertical="center"/>
    </xf>
    <xf numFmtId="6" fontId="12" fillId="5" borderId="54" xfId="9" applyNumberFormat="1" applyFont="1" applyFill="1" applyBorder="1" applyAlignment="1" applyProtection="1">
      <alignment vertical="center"/>
    </xf>
    <xf numFmtId="6" fontId="12" fillId="23" borderId="54" xfId="9" applyNumberFormat="1" applyFont="1" applyFill="1" applyBorder="1" applyAlignment="1" applyProtection="1">
      <alignment vertical="center"/>
    </xf>
    <xf numFmtId="0" fontId="12" fillId="0" borderId="20" xfId="8" applyNumberFormat="1" applyFont="1" applyFill="1" applyBorder="1" applyAlignment="1" applyProtection="1">
      <alignment horizontal="center" vertical="center"/>
    </xf>
    <xf numFmtId="3" fontId="12" fillId="0" borderId="20" xfId="8" applyNumberFormat="1" applyFont="1" applyFill="1" applyBorder="1" applyAlignment="1" applyProtection="1">
      <alignment horizontal="left" vertical="center"/>
    </xf>
    <xf numFmtId="38" fontId="12" fillId="0" borderId="20" xfId="9" applyNumberFormat="1" applyFont="1" applyFill="1" applyBorder="1" applyAlignment="1" applyProtection="1">
      <alignment vertical="center"/>
    </xf>
    <xf numFmtId="6" fontId="12" fillId="5" borderId="20" xfId="9" applyNumberFormat="1" applyFont="1" applyFill="1" applyBorder="1" applyAlignment="1" applyProtection="1">
      <alignment vertical="center"/>
    </xf>
    <xf numFmtId="6" fontId="12" fillId="0" borderId="20" xfId="8" applyNumberFormat="1" applyFont="1" applyFill="1" applyBorder="1" applyAlignment="1" applyProtection="1">
      <alignment vertical="center"/>
    </xf>
    <xf numFmtId="6" fontId="12" fillId="12" borderId="20" xfId="8" applyNumberFormat="1" applyFont="1" applyFill="1" applyBorder="1" applyAlignment="1" applyProtection="1">
      <alignment vertical="center"/>
    </xf>
    <xf numFmtId="166" fontId="12" fillId="0" borderId="20" xfId="9" applyNumberFormat="1" applyFont="1" applyFill="1" applyBorder="1" applyAlignment="1" applyProtection="1">
      <alignment vertical="center"/>
    </xf>
    <xf numFmtId="6" fontId="12" fillId="3" borderId="20" xfId="8" applyNumberFormat="1" applyFont="1" applyFill="1" applyBorder="1" applyAlignment="1" applyProtection="1">
      <alignment vertical="center"/>
    </xf>
    <xf numFmtId="6" fontId="12" fillId="18" borderId="20" xfId="8" applyNumberFormat="1" applyFont="1" applyFill="1" applyBorder="1" applyAlignment="1" applyProtection="1">
      <alignment vertical="center"/>
    </xf>
    <xf numFmtId="6" fontId="12" fillId="22" borderId="20" xfId="8" applyNumberFormat="1" applyFont="1" applyFill="1" applyBorder="1" applyAlignment="1" applyProtection="1">
      <alignment vertical="center"/>
    </xf>
    <xf numFmtId="40" fontId="32" fillId="0" borderId="20" xfId="8" applyNumberFormat="1" applyFont="1" applyFill="1" applyBorder="1" applyAlignment="1" applyProtection="1">
      <alignment vertical="center"/>
    </xf>
    <xf numFmtId="6" fontId="32" fillId="0" borderId="20" xfId="8" applyNumberFormat="1" applyFont="1" applyFill="1" applyBorder="1" applyAlignment="1" applyProtection="1">
      <alignment vertical="center"/>
    </xf>
    <xf numFmtId="6" fontId="12" fillId="23" borderId="20" xfId="9" applyNumberFormat="1" applyFont="1" applyFill="1" applyBorder="1" applyAlignment="1" applyProtection="1">
      <alignment vertical="center"/>
    </xf>
    <xf numFmtId="6" fontId="32" fillId="24" borderId="20" xfId="8" applyNumberFormat="1" applyFont="1" applyFill="1" applyBorder="1" applyAlignment="1" applyProtection="1">
      <alignment vertical="center"/>
    </xf>
    <xf numFmtId="6" fontId="16" fillId="6" borderId="20" xfId="8" applyNumberFormat="1" applyFont="1" applyFill="1" applyBorder="1" applyAlignment="1" applyProtection="1">
      <alignment vertical="center"/>
    </xf>
    <xf numFmtId="0" fontId="12" fillId="0" borderId="58" xfId="8" applyNumberFormat="1" applyFont="1" applyFill="1" applyBorder="1" applyAlignment="1" applyProtection="1">
      <alignment horizontal="center" vertical="center"/>
    </xf>
    <xf numFmtId="0" fontId="12" fillId="0" borderId="44" xfId="8" applyNumberFormat="1" applyFont="1" applyFill="1" applyBorder="1" applyAlignment="1" applyProtection="1">
      <alignment horizontal="center" vertical="center"/>
    </xf>
    <xf numFmtId="6" fontId="12" fillId="5" borderId="58" xfId="9" applyNumberFormat="1" applyFont="1" applyFill="1" applyBorder="1" applyAlignment="1" applyProtection="1">
      <alignment vertical="center"/>
    </xf>
    <xf numFmtId="6" fontId="12" fillId="23" borderId="58" xfId="9" applyNumberFormat="1" applyFont="1" applyFill="1" applyBorder="1" applyAlignment="1" applyProtection="1">
      <alignment vertical="center"/>
    </xf>
    <xf numFmtId="0" fontId="12" fillId="0" borderId="43" xfId="8" applyNumberFormat="1" applyFont="1" applyFill="1" applyBorder="1" applyAlignment="1" applyProtection="1">
      <alignment horizontal="center" vertical="center"/>
    </xf>
    <xf numFmtId="0" fontId="12" fillId="0" borderId="42" xfId="8" applyNumberFormat="1" applyFont="1" applyFill="1" applyBorder="1" applyAlignment="1" applyProtection="1">
      <alignment horizontal="center" vertical="center"/>
    </xf>
    <xf numFmtId="6" fontId="12" fillId="5" borderId="43" xfId="9" applyNumberFormat="1" applyFont="1" applyFill="1" applyBorder="1" applyAlignment="1" applyProtection="1">
      <alignment vertical="center"/>
    </xf>
    <xf numFmtId="6" fontId="12" fillId="23" borderId="43" xfId="9" applyNumberFormat="1" applyFont="1" applyFill="1" applyBorder="1" applyAlignment="1" applyProtection="1">
      <alignment vertical="center"/>
    </xf>
    <xf numFmtId="0" fontId="16" fillId="0" borderId="63" xfId="8" applyFont="1" applyFill="1" applyBorder="1" applyAlignment="1" applyProtection="1">
      <alignment horizontal="center" vertical="center"/>
    </xf>
    <xf numFmtId="0" fontId="16" fillId="0" borderId="64" xfId="8" applyFont="1" applyFill="1" applyBorder="1" applyAlignment="1" applyProtection="1">
      <alignment horizontal="center" vertical="center"/>
    </xf>
    <xf numFmtId="0" fontId="16" fillId="0" borderId="65" xfId="8" applyFont="1" applyFill="1" applyBorder="1" applyAlignment="1" applyProtection="1">
      <alignment horizontal="left" vertical="center"/>
    </xf>
    <xf numFmtId="38" fontId="16" fillId="0" borderId="66" xfId="1" applyNumberFormat="1" applyFont="1" applyFill="1" applyBorder="1" applyAlignment="1" applyProtection="1">
      <alignment vertical="center"/>
    </xf>
    <xf numFmtId="6" fontId="16" fillId="5" borderId="66" xfId="9" applyNumberFormat="1" applyFont="1" applyFill="1" applyBorder="1" applyAlignment="1" applyProtection="1">
      <alignment vertical="center"/>
    </xf>
    <xf numFmtId="6" fontId="16" fillId="0" borderId="66" xfId="8" applyNumberFormat="1" applyFont="1" applyFill="1" applyBorder="1" applyAlignment="1" applyProtection="1">
      <alignment vertical="center"/>
    </xf>
    <xf numFmtId="6" fontId="16" fillId="12" borderId="66" xfId="8" applyNumberFormat="1" applyFont="1" applyFill="1" applyBorder="1" applyAlignment="1" applyProtection="1">
      <alignment vertical="center"/>
    </xf>
    <xf numFmtId="166" fontId="16" fillId="0" borderId="66" xfId="1" applyNumberFormat="1" applyFont="1" applyFill="1" applyBorder="1" applyAlignment="1" applyProtection="1">
      <alignment vertical="center"/>
    </xf>
    <xf numFmtId="6" fontId="16" fillId="3" borderId="66" xfId="8" applyNumberFormat="1" applyFont="1" applyFill="1" applyBorder="1" applyAlignment="1" applyProtection="1">
      <alignment vertical="center"/>
    </xf>
    <xf numFmtId="6" fontId="16" fillId="18" borderId="66" xfId="8" applyNumberFormat="1" applyFont="1" applyFill="1" applyBorder="1" applyAlignment="1" applyProtection="1">
      <alignment vertical="center"/>
    </xf>
    <xf numFmtId="6" fontId="16" fillId="22" borderId="66" xfId="8" applyNumberFormat="1" applyFont="1" applyFill="1" applyBorder="1" applyAlignment="1" applyProtection="1">
      <alignment vertical="center"/>
    </xf>
    <xf numFmtId="40" fontId="33" fillId="0" borderId="66" xfId="8" applyNumberFormat="1" applyFont="1" applyFill="1" applyBorder="1" applyAlignment="1" applyProtection="1">
      <alignment vertical="center"/>
    </xf>
    <xf numFmtId="6" fontId="33" fillId="0" borderId="66" xfId="8" applyNumberFormat="1" applyFont="1" applyFill="1" applyBorder="1" applyAlignment="1" applyProtection="1">
      <alignment vertical="center"/>
    </xf>
    <xf numFmtId="6" fontId="16" fillId="23" borderId="66" xfId="9" applyNumberFormat="1" applyFont="1" applyFill="1" applyBorder="1" applyAlignment="1" applyProtection="1">
      <alignment vertical="center"/>
    </xf>
    <xf numFmtId="6" fontId="33" fillId="24" borderId="66" xfId="8" applyNumberFormat="1" applyFont="1" applyFill="1" applyBorder="1" applyAlignment="1" applyProtection="1">
      <alignment vertical="center"/>
    </xf>
    <xf numFmtId="6" fontId="16" fillId="6" borderId="66" xfId="8" applyNumberFormat="1" applyFont="1" applyFill="1" applyBorder="1" applyAlignment="1" applyProtection="1">
      <alignment vertical="center"/>
    </xf>
    <xf numFmtId="0" fontId="16" fillId="0" borderId="0" xfId="8" applyFont="1" applyProtection="1"/>
    <xf numFmtId="0" fontId="12" fillId="27" borderId="67" xfId="8" applyFont="1" applyFill="1" applyBorder="1" applyAlignment="1" applyProtection="1">
      <alignment horizontal="center" vertical="center"/>
    </xf>
    <xf numFmtId="0" fontId="12" fillId="27" borderId="68" xfId="8" applyFont="1" applyFill="1" applyBorder="1" applyAlignment="1" applyProtection="1">
      <alignment horizontal="center" vertical="center"/>
    </xf>
    <xf numFmtId="0" fontId="16" fillId="27" borderId="69" xfId="8" applyFont="1" applyFill="1" applyBorder="1" applyAlignment="1" applyProtection="1">
      <alignment vertical="center"/>
    </xf>
    <xf numFmtId="38" fontId="16" fillId="27" borderId="70" xfId="8" applyNumberFormat="1" applyFont="1" applyFill="1" applyBorder="1" applyAlignment="1" applyProtection="1">
      <alignment horizontal="left" vertical="center"/>
    </xf>
    <xf numFmtId="6" fontId="16" fillId="27" borderId="69" xfId="8" applyNumberFormat="1" applyFont="1" applyFill="1" applyBorder="1" applyAlignment="1" applyProtection="1">
      <alignment horizontal="left" vertical="center"/>
    </xf>
    <xf numFmtId="6" fontId="12" fillId="27" borderId="69" xfId="8" applyNumberFormat="1" applyFont="1" applyFill="1" applyBorder="1" applyAlignment="1" applyProtection="1">
      <alignment horizontal="left" vertical="center"/>
    </xf>
    <xf numFmtId="38" fontId="16" fillId="27" borderId="69" xfId="8" applyNumberFormat="1" applyFont="1" applyFill="1" applyBorder="1" applyAlignment="1" applyProtection="1">
      <alignment horizontal="left" vertical="center"/>
    </xf>
    <xf numFmtId="166" fontId="16" fillId="27" borderId="70" xfId="8" applyNumberFormat="1" applyFont="1" applyFill="1" applyBorder="1" applyAlignment="1" applyProtection="1">
      <alignment horizontal="left" vertical="center"/>
    </xf>
    <xf numFmtId="40" fontId="33" fillId="27" borderId="69" xfId="8" applyNumberFormat="1" applyFont="1" applyFill="1" applyBorder="1" applyAlignment="1" applyProtection="1">
      <alignment horizontal="left" vertical="center"/>
    </xf>
    <xf numFmtId="6" fontId="33" fillId="27" borderId="69" xfId="8" applyNumberFormat="1" applyFont="1" applyFill="1" applyBorder="1" applyAlignment="1" applyProtection="1">
      <alignment horizontal="left" vertical="center"/>
    </xf>
    <xf numFmtId="0" fontId="12" fillId="0" borderId="0" xfId="8" applyBorder="1" applyProtection="1"/>
    <xf numFmtId="0" fontId="12" fillId="28" borderId="67" xfId="8" applyFont="1" applyFill="1" applyBorder="1" applyAlignment="1" applyProtection="1">
      <alignment horizontal="center" vertical="center"/>
    </xf>
    <xf numFmtId="0" fontId="12" fillId="28" borderId="68" xfId="8" applyFont="1" applyFill="1" applyBorder="1" applyAlignment="1" applyProtection="1">
      <alignment horizontal="center" vertical="center"/>
    </xf>
    <xf numFmtId="0" fontId="16" fillId="28" borderId="69" xfId="8" applyFont="1" applyFill="1" applyBorder="1" applyAlignment="1" applyProtection="1">
      <alignment horizontal="left" vertical="center"/>
    </xf>
    <xf numFmtId="38" fontId="12" fillId="27" borderId="70" xfId="8" applyNumberFormat="1" applyFont="1" applyFill="1" applyBorder="1" applyAlignment="1" applyProtection="1">
      <alignment horizontal="left" vertical="center"/>
    </xf>
    <xf numFmtId="38" fontId="12" fillId="27" borderId="69" xfId="8" applyNumberFormat="1" applyFont="1" applyFill="1" applyBorder="1" applyAlignment="1" applyProtection="1">
      <alignment horizontal="left" vertical="center"/>
    </xf>
    <xf numFmtId="166" fontId="12" fillId="27" borderId="70" xfId="8" applyNumberFormat="1" applyFont="1" applyFill="1" applyBorder="1" applyAlignment="1" applyProtection="1">
      <alignment horizontal="left" vertical="center"/>
    </xf>
    <xf numFmtId="0" fontId="16" fillId="27" borderId="69" xfId="8" applyFont="1" applyFill="1" applyBorder="1" applyAlignment="1" applyProtection="1">
      <alignment horizontal="left" vertical="center"/>
    </xf>
    <xf numFmtId="0" fontId="12" fillId="27" borderId="11" xfId="8" applyFont="1" applyFill="1" applyBorder="1" applyAlignment="1" applyProtection="1">
      <alignment horizontal="center" vertical="center"/>
    </xf>
    <xf numFmtId="0" fontId="12" fillId="27" borderId="61" xfId="8" applyFont="1" applyFill="1" applyBorder="1" applyAlignment="1" applyProtection="1">
      <alignment horizontal="center" vertical="center"/>
    </xf>
    <xf numFmtId="0" fontId="16" fillId="27" borderId="71" xfId="8" applyFont="1" applyFill="1" applyBorder="1" applyAlignment="1" applyProtection="1">
      <alignment horizontal="left" vertical="center"/>
    </xf>
    <xf numFmtId="38" fontId="16" fillId="27" borderId="43" xfId="8" applyNumberFormat="1" applyFont="1" applyFill="1" applyBorder="1" applyAlignment="1" applyProtection="1">
      <alignment horizontal="left" vertical="center"/>
    </xf>
    <xf numFmtId="6" fontId="16" fillId="27" borderId="42" xfId="8" applyNumberFormat="1" applyFont="1" applyFill="1" applyBorder="1" applyAlignment="1" applyProtection="1">
      <alignment horizontal="left" vertical="center"/>
    </xf>
    <xf numFmtId="38" fontId="16" fillId="27" borderId="42" xfId="8" applyNumberFormat="1" applyFont="1" applyFill="1" applyBorder="1" applyAlignment="1" applyProtection="1">
      <alignment horizontal="left" vertical="center"/>
    </xf>
    <xf numFmtId="166" fontId="16" fillId="27" borderId="43" xfId="8" applyNumberFormat="1" applyFont="1" applyFill="1" applyBorder="1" applyAlignment="1" applyProtection="1">
      <alignment horizontal="left" vertical="center"/>
    </xf>
    <xf numFmtId="6" fontId="16" fillId="27" borderId="43" xfId="8" applyNumberFormat="1" applyFont="1" applyFill="1" applyBorder="1" applyAlignment="1" applyProtection="1">
      <alignment horizontal="left" vertical="center"/>
    </xf>
    <xf numFmtId="40" fontId="33" fillId="27" borderId="42" xfId="8" applyNumberFormat="1" applyFont="1" applyFill="1" applyBorder="1" applyAlignment="1" applyProtection="1">
      <alignment horizontal="left" vertical="center"/>
    </xf>
    <xf numFmtId="6" fontId="33" fillId="27" borderId="42" xfId="8" applyNumberFormat="1" applyFont="1" applyFill="1" applyBorder="1" applyAlignment="1" applyProtection="1">
      <alignment horizontal="left" vertical="center"/>
    </xf>
    <xf numFmtId="6" fontId="12" fillId="27" borderId="42" xfId="8" applyNumberFormat="1" applyFont="1" applyFill="1" applyBorder="1" applyAlignment="1" applyProtection="1">
      <alignment horizontal="left" vertical="center"/>
    </xf>
    <xf numFmtId="0" fontId="12" fillId="0" borderId="0" xfId="8" applyFont="1" applyAlignment="1" applyProtection="1">
      <alignment horizontal="center"/>
    </xf>
    <xf numFmtId="0" fontId="12" fillId="0" borderId="0" xfId="8" applyFont="1" applyProtection="1"/>
    <xf numFmtId="0" fontId="35" fillId="4" borderId="61" xfId="0" applyFont="1" applyFill="1" applyBorder="1" applyAlignment="1" applyProtection="1">
      <alignment horizontal="center" vertical="center" wrapText="1"/>
    </xf>
    <xf numFmtId="0" fontId="35" fillId="4" borderId="61" xfId="0" quotePrefix="1" applyFont="1" applyFill="1" applyBorder="1" applyAlignment="1" applyProtection="1">
      <alignment horizontal="center" vertical="center" wrapText="1"/>
    </xf>
    <xf numFmtId="0" fontId="24" fillId="4" borderId="61" xfId="0" applyFont="1" applyFill="1" applyBorder="1" applyAlignment="1" applyProtection="1">
      <alignment vertical="center" wrapText="1"/>
    </xf>
    <xf numFmtId="0" fontId="0" fillId="4" borderId="61" xfId="0" applyFill="1" applyBorder="1" applyAlignment="1" applyProtection="1">
      <alignment vertical="center"/>
    </xf>
    <xf numFmtId="0" fontId="0" fillId="4" borderId="42" xfId="0" applyFill="1" applyBorder="1" applyAlignment="1" applyProtection="1">
      <alignment vertical="center"/>
    </xf>
    <xf numFmtId="0" fontId="13" fillId="3" borderId="73" xfId="0" applyFont="1" applyFill="1" applyBorder="1" applyAlignment="1" applyProtection="1">
      <alignment horizontal="center" vertical="center" wrapText="1"/>
    </xf>
    <xf numFmtId="49" fontId="13" fillId="3" borderId="73" xfId="4" applyNumberFormat="1" applyFont="1" applyFill="1" applyBorder="1" applyAlignment="1" applyProtection="1">
      <alignment horizontal="center" vertical="center" wrapText="1"/>
    </xf>
    <xf numFmtId="0" fontId="13" fillId="5" borderId="73" xfId="0" applyFont="1" applyFill="1" applyBorder="1" applyAlignment="1" applyProtection="1">
      <alignment horizontal="center" vertical="center" wrapText="1"/>
    </xf>
    <xf numFmtId="49" fontId="13" fillId="5" borderId="73" xfId="4" applyNumberFormat="1" applyFont="1" applyFill="1" applyBorder="1" applyAlignment="1" applyProtection="1">
      <alignment horizontal="center" vertical="center" wrapText="1"/>
    </xf>
    <xf numFmtId="0" fontId="13" fillId="8" borderId="73" xfId="0" applyFont="1" applyFill="1" applyBorder="1" applyAlignment="1" applyProtection="1">
      <alignment horizontal="center" vertical="center" wrapText="1"/>
    </xf>
    <xf numFmtId="0" fontId="10" fillId="8" borderId="73" xfId="0" quotePrefix="1" applyFont="1" applyFill="1" applyBorder="1" applyAlignment="1" applyProtection="1">
      <alignment horizontal="center" vertical="center" wrapText="1"/>
    </xf>
    <xf numFmtId="0" fontId="0" fillId="9" borderId="73" xfId="0" applyFill="1" applyBorder="1" applyAlignment="1" applyProtection="1">
      <alignment vertical="center"/>
    </xf>
    <xf numFmtId="1" fontId="17" fillId="9" borderId="73" xfId="0" quotePrefix="1" applyNumberFormat="1" applyFont="1" applyFill="1" applyBorder="1" applyAlignment="1" applyProtection="1">
      <alignment horizontal="center" vertical="center"/>
    </xf>
    <xf numFmtId="0" fontId="19" fillId="9" borderId="43" xfId="0" applyFont="1" applyFill="1" applyBorder="1" applyAlignment="1" applyProtection="1">
      <alignment vertical="center"/>
    </xf>
    <xf numFmtId="1" fontId="20" fillId="9" borderId="43" xfId="0" quotePrefix="1" applyNumberFormat="1" applyFont="1" applyFill="1" applyBorder="1" applyAlignment="1" applyProtection="1">
      <alignment horizontal="center" vertical="center" wrapText="1"/>
    </xf>
    <xf numFmtId="1" fontId="20" fillId="9" borderId="73" xfId="0" quotePrefix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1" fontId="20" fillId="9" borderId="73" xfId="0" applyNumberFormat="1" applyFont="1" applyFill="1" applyBorder="1" applyAlignment="1" applyProtection="1">
      <alignment horizontal="center" vertical="center" wrapText="1"/>
    </xf>
    <xf numFmtId="1" fontId="20" fillId="9" borderId="43" xfId="0" applyNumberFormat="1" applyFont="1" applyFill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vertical="center" wrapText="1"/>
    </xf>
    <xf numFmtId="3" fontId="0" fillId="0" borderId="43" xfId="0" applyNumberFormat="1" applyFill="1" applyBorder="1" applyAlignment="1" applyProtection="1">
      <alignment vertical="center"/>
    </xf>
    <xf numFmtId="6" fontId="0" fillId="0" borderId="43" xfId="0" applyNumberFormat="1" applyBorder="1" applyAlignment="1" applyProtection="1">
      <alignment vertical="center"/>
    </xf>
    <xf numFmtId="6" fontId="0" fillId="3" borderId="43" xfId="0" applyNumberFormat="1" applyFill="1" applyBorder="1" applyAlignment="1" applyProtection="1">
      <alignment vertical="center"/>
    </xf>
    <xf numFmtId="6" fontId="0" fillId="0" borderId="43" xfId="0" applyNumberFormat="1" applyFill="1" applyBorder="1" applyAlignment="1" applyProtection="1">
      <alignment vertical="center"/>
    </xf>
    <xf numFmtId="6" fontId="0" fillId="5" borderId="43" xfId="0" applyNumberFormat="1" applyFill="1" applyBorder="1" applyAlignment="1" applyProtection="1">
      <alignment vertical="center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left" vertical="center" wrapText="1"/>
    </xf>
    <xf numFmtId="0" fontId="16" fillId="0" borderId="72" xfId="0" applyFont="1" applyBorder="1" applyAlignment="1" applyProtection="1">
      <alignment vertical="center"/>
    </xf>
    <xf numFmtId="37" fontId="16" fillId="0" borderId="72" xfId="1" applyNumberFormat="1" applyFont="1" applyBorder="1" applyAlignment="1" applyProtection="1">
      <alignment vertical="center"/>
    </xf>
    <xf numFmtId="8" fontId="16" fillId="0" borderId="72" xfId="0" applyNumberFormat="1" applyFont="1" applyBorder="1" applyAlignment="1" applyProtection="1">
      <alignment vertical="center"/>
    </xf>
    <xf numFmtId="6" fontId="16" fillId="0" borderId="72" xfId="0" applyNumberFormat="1" applyFont="1" applyBorder="1" applyAlignment="1" applyProtection="1">
      <alignment vertical="center"/>
    </xf>
    <xf numFmtId="6" fontId="16" fillId="3" borderId="72" xfId="0" applyNumberFormat="1" applyFont="1" applyFill="1" applyBorder="1" applyAlignment="1" applyProtection="1">
      <alignment vertical="center"/>
    </xf>
    <xf numFmtId="6" fontId="16" fillId="0" borderId="72" xfId="0" applyNumberFormat="1" applyFont="1" applyFill="1" applyBorder="1" applyAlignment="1" applyProtection="1">
      <alignment vertical="center"/>
    </xf>
    <xf numFmtId="6" fontId="16" fillId="5" borderId="72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37" fontId="13" fillId="0" borderId="0" xfId="1" applyNumberFormat="1" applyFont="1" applyBorder="1" applyAlignment="1" applyProtection="1">
      <alignment vertical="center"/>
    </xf>
    <xf numFmtId="8" fontId="13" fillId="0" borderId="0" xfId="0" applyNumberFormat="1" applyFont="1" applyBorder="1" applyAlignment="1" applyProtection="1">
      <alignment vertical="center"/>
    </xf>
    <xf numFmtId="6" fontId="13" fillId="0" borderId="0" xfId="0" applyNumberFormat="1" applyFont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13" fillId="0" borderId="0" xfId="4" applyNumberFormat="1" applyFont="1" applyFill="1" applyBorder="1" applyAlignment="1" applyProtection="1">
      <alignment horizontal="center" vertical="center" wrapText="1"/>
    </xf>
    <xf numFmtId="1" fontId="12" fillId="9" borderId="43" xfId="4" applyNumberFormat="1" applyFont="1" applyFill="1" applyBorder="1" applyAlignment="1" applyProtection="1">
      <alignment horizontal="center"/>
    </xf>
    <xf numFmtId="1" fontId="16" fillId="9" borderId="43" xfId="4" applyNumberFormat="1" applyFont="1" applyFill="1" applyBorder="1" applyAlignment="1" applyProtection="1">
      <alignment horizontal="center"/>
    </xf>
    <xf numFmtId="1" fontId="17" fillId="9" borderId="43" xfId="4" quotePrefix="1" applyNumberFormat="1" applyFont="1" applyFill="1" applyBorder="1" applyAlignment="1" applyProtection="1">
      <alignment horizontal="center"/>
    </xf>
    <xf numFmtId="1" fontId="19" fillId="9" borderId="73" xfId="4" applyNumberFormat="1" applyFont="1" applyFill="1" applyBorder="1" applyAlignment="1" applyProtection="1">
      <alignment horizontal="center"/>
    </xf>
    <xf numFmtId="1" fontId="36" fillId="9" borderId="73" xfId="4" applyNumberFormat="1" applyFont="1" applyFill="1" applyBorder="1" applyAlignment="1" applyProtection="1">
      <alignment horizontal="center"/>
    </xf>
    <xf numFmtId="1" fontId="20" fillId="9" borderId="43" xfId="4" quotePrefix="1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1" fontId="19" fillId="9" borderId="43" xfId="4" applyNumberFormat="1" applyFont="1" applyFill="1" applyBorder="1" applyAlignment="1" applyProtection="1">
      <alignment horizontal="center"/>
    </xf>
    <xf numFmtId="1" fontId="36" fillId="9" borderId="43" xfId="4" applyNumberFormat="1" applyFont="1" applyFill="1" applyBorder="1" applyAlignment="1" applyProtection="1">
      <alignment horizontal="center"/>
    </xf>
    <xf numFmtId="0" fontId="12" fillId="0" borderId="79" xfId="4" applyFont="1" applyFill="1" applyBorder="1" applyAlignment="1" applyProtection="1">
      <alignment vertical="center"/>
    </xf>
    <xf numFmtId="0" fontId="12" fillId="0" borderId="80" xfId="4" applyFont="1" applyFill="1" applyBorder="1" applyAlignment="1" applyProtection="1">
      <alignment vertical="center"/>
    </xf>
    <xf numFmtId="38" fontId="12" fillId="26" borderId="80" xfId="11" applyNumberFormat="1" applyFont="1" applyFill="1" applyBorder="1" applyAlignment="1" applyProtection="1">
      <alignment horizontal="right" vertical="center"/>
    </xf>
    <xf numFmtId="6" fontId="12" fillId="0" borderId="81" xfId="11" applyNumberFormat="1" applyFont="1" applyFill="1" applyBorder="1" applyAlignment="1" applyProtection="1">
      <alignment horizontal="right" vertical="center"/>
    </xf>
    <xf numFmtId="6" fontId="12" fillId="26" borderId="81" xfId="11" applyNumberFormat="1" applyFont="1" applyFill="1" applyBorder="1" applyAlignment="1" applyProtection="1">
      <alignment horizontal="right" vertical="center"/>
    </xf>
    <xf numFmtId="38" fontId="12" fillId="0" borderId="80" xfId="11" applyNumberFormat="1" applyFont="1" applyFill="1" applyBorder="1" applyAlignment="1" applyProtection="1">
      <alignment horizontal="right" vertical="center"/>
    </xf>
    <xf numFmtId="6" fontId="12" fillId="3" borderId="81" xfId="11" applyNumberFormat="1" applyFont="1" applyFill="1" applyBorder="1" applyAlignment="1" applyProtection="1">
      <alignment horizontal="right" vertical="center"/>
    </xf>
    <xf numFmtId="6" fontId="12" fillId="5" borderId="81" xfId="11" applyNumberFormat="1" applyFont="1" applyFill="1" applyBorder="1" applyAlignment="1" applyProtection="1">
      <alignment horizontal="right" vertical="center"/>
    </xf>
    <xf numFmtId="6" fontId="12" fillId="8" borderId="81" xfId="11" applyNumberFormat="1" applyFont="1" applyFill="1" applyBorder="1" applyAlignment="1" applyProtection="1">
      <alignment horizontal="right" vertical="center"/>
    </xf>
    <xf numFmtId="0" fontId="12" fillId="0" borderId="55" xfId="4" applyFont="1" applyFill="1" applyBorder="1" applyAlignment="1" applyProtection="1">
      <alignment vertical="center"/>
    </xf>
    <xf numFmtId="0" fontId="12" fillId="0" borderId="15" xfId="4" applyFont="1" applyFill="1" applyBorder="1" applyAlignment="1" applyProtection="1">
      <alignment vertical="center"/>
    </xf>
    <xf numFmtId="38" fontId="12" fillId="26" borderId="15" xfId="11" applyNumberFormat="1" applyFont="1" applyFill="1" applyBorder="1" applyAlignment="1" applyProtection="1">
      <alignment horizontal="right" vertical="center"/>
    </xf>
    <xf numFmtId="6" fontId="12" fillId="0" borderId="82" xfId="11" applyNumberFormat="1" applyFont="1" applyFill="1" applyBorder="1" applyAlignment="1" applyProtection="1">
      <alignment horizontal="right" vertical="center"/>
    </xf>
    <xf numFmtId="6" fontId="12" fillId="26" borderId="82" xfId="11" applyNumberFormat="1" applyFont="1" applyFill="1" applyBorder="1" applyAlignment="1" applyProtection="1">
      <alignment horizontal="right" vertical="center"/>
    </xf>
    <xf numFmtId="38" fontId="12" fillId="0" borderId="15" xfId="11" applyNumberFormat="1" applyFont="1" applyFill="1" applyBorder="1" applyAlignment="1" applyProtection="1">
      <alignment horizontal="right" vertical="center"/>
    </xf>
    <xf numFmtId="6" fontId="12" fillId="3" borderId="82" xfId="11" applyNumberFormat="1" applyFont="1" applyFill="1" applyBorder="1" applyAlignment="1" applyProtection="1">
      <alignment horizontal="right" vertical="center"/>
    </xf>
    <xf numFmtId="6" fontId="12" fillId="5" borderId="82" xfId="11" applyNumberFormat="1" applyFont="1" applyFill="1" applyBorder="1" applyAlignment="1" applyProtection="1">
      <alignment horizontal="right" vertical="center"/>
    </xf>
    <xf numFmtId="6" fontId="12" fillId="8" borderId="82" xfId="11" applyNumberFormat="1" applyFont="1" applyFill="1" applyBorder="1" applyAlignment="1" applyProtection="1">
      <alignment horizontal="right" vertical="center"/>
    </xf>
    <xf numFmtId="6" fontId="12" fillId="26" borderId="15" xfId="4" applyNumberFormat="1" applyFont="1" applyFill="1" applyBorder="1" applyAlignment="1" applyProtection="1">
      <alignment horizontal="right" vertical="center"/>
    </xf>
    <xf numFmtId="0" fontId="12" fillId="0" borderId="83" xfId="4" applyFont="1" applyFill="1" applyBorder="1" applyAlignment="1" applyProtection="1">
      <alignment vertical="center"/>
    </xf>
    <xf numFmtId="0" fontId="12" fillId="0" borderId="84" xfId="4" applyFont="1" applyFill="1" applyBorder="1" applyAlignment="1" applyProtection="1">
      <alignment vertical="center"/>
    </xf>
    <xf numFmtId="38" fontId="12" fillId="26" borderId="84" xfId="11" applyNumberFormat="1" applyFont="1" applyFill="1" applyBorder="1" applyAlignment="1" applyProtection="1">
      <alignment horizontal="right" vertical="center"/>
    </xf>
    <xf numFmtId="6" fontId="12" fillId="0" borderId="85" xfId="11" applyNumberFormat="1" applyFont="1" applyFill="1" applyBorder="1" applyAlignment="1" applyProtection="1">
      <alignment horizontal="right" vertical="center"/>
    </xf>
    <xf numFmtId="6" fontId="12" fillId="26" borderId="85" xfId="11" applyNumberFormat="1" applyFont="1" applyFill="1" applyBorder="1" applyAlignment="1" applyProtection="1">
      <alignment horizontal="right" vertical="center"/>
    </xf>
    <xf numFmtId="38" fontId="12" fillId="0" borderId="84" xfId="11" applyNumberFormat="1" applyFont="1" applyFill="1" applyBorder="1" applyAlignment="1" applyProtection="1">
      <alignment horizontal="right" vertical="center"/>
    </xf>
    <xf numFmtId="6" fontId="12" fillId="3" borderId="85" xfId="11" applyNumberFormat="1" applyFont="1" applyFill="1" applyBorder="1" applyAlignment="1" applyProtection="1">
      <alignment horizontal="right" vertical="center"/>
    </xf>
    <xf numFmtId="6" fontId="12" fillId="5" borderId="85" xfId="11" applyNumberFormat="1" applyFont="1" applyFill="1" applyBorder="1" applyAlignment="1" applyProtection="1">
      <alignment horizontal="right" vertical="center"/>
    </xf>
    <xf numFmtId="6" fontId="12" fillId="8" borderId="85" xfId="11" applyNumberFormat="1" applyFont="1" applyFill="1" applyBorder="1" applyAlignment="1" applyProtection="1">
      <alignment horizontal="right" vertical="center"/>
    </xf>
    <xf numFmtId="6" fontId="12" fillId="0" borderId="14" xfId="11" applyNumberFormat="1" applyFont="1" applyFill="1" applyBorder="1" applyAlignment="1" applyProtection="1">
      <alignment horizontal="right" vertical="center"/>
    </xf>
    <xf numFmtId="6" fontId="12" fillId="3" borderId="14" xfId="11" applyNumberFormat="1" applyFont="1" applyFill="1" applyBorder="1" applyAlignment="1" applyProtection="1">
      <alignment horizontal="right" vertical="center"/>
    </xf>
    <xf numFmtId="6" fontId="12" fillId="26" borderId="84" xfId="4" applyNumberFormat="1" applyFont="1" applyFill="1" applyBorder="1" applyAlignment="1" applyProtection="1">
      <alignment horizontal="right" vertical="center"/>
    </xf>
    <xf numFmtId="38" fontId="16" fillId="26" borderId="88" xfId="11" applyNumberFormat="1" applyFont="1" applyFill="1" applyBorder="1" applyAlignment="1" applyProtection="1">
      <alignment horizontal="right" vertical="center"/>
    </xf>
    <xf numFmtId="6" fontId="16" fillId="0" borderId="89" xfId="11" applyNumberFormat="1" applyFont="1" applyFill="1" applyBorder="1" applyAlignment="1" applyProtection="1">
      <alignment horizontal="right" vertical="center"/>
    </xf>
    <xf numFmtId="6" fontId="16" fillId="26" borderId="89" xfId="11" applyNumberFormat="1" applyFont="1" applyFill="1" applyBorder="1" applyAlignment="1" applyProtection="1">
      <alignment horizontal="right" vertical="center"/>
    </xf>
    <xf numFmtId="6" fontId="16" fillId="3" borderId="89" xfId="11" applyNumberFormat="1" applyFont="1" applyFill="1" applyBorder="1" applyAlignment="1" applyProtection="1">
      <alignment horizontal="right" vertical="center"/>
    </xf>
    <xf numFmtId="6" fontId="16" fillId="5" borderId="89" xfId="11" applyNumberFormat="1" applyFont="1" applyFill="1" applyBorder="1" applyAlignment="1" applyProtection="1">
      <alignment horizontal="right" vertical="center"/>
    </xf>
    <xf numFmtId="6" fontId="16" fillId="8" borderId="89" xfId="11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</xf>
    <xf numFmtId="49" fontId="13" fillId="3" borderId="73" xfId="0" applyNumberFormat="1" applyFont="1" applyFill="1" applyBorder="1" applyAlignment="1" applyProtection="1">
      <alignment horizontal="center" vertical="center" wrapText="1"/>
    </xf>
    <xf numFmtId="10" fontId="13" fillId="4" borderId="73" xfId="12" applyNumberFormat="1" applyFont="1" applyFill="1" applyBorder="1" applyAlignment="1" applyProtection="1">
      <alignment horizontal="center" vertical="center" wrapText="1"/>
    </xf>
    <xf numFmtId="6" fontId="13" fillId="4" borderId="73" xfId="12" applyNumberFormat="1" applyFont="1" applyFill="1" applyBorder="1" applyAlignment="1" applyProtection="1">
      <alignment horizontal="center" vertical="center" wrapText="1"/>
    </xf>
    <xf numFmtId="1" fontId="12" fillId="9" borderId="73" xfId="0" applyNumberFormat="1" applyFont="1" applyFill="1" applyBorder="1" applyAlignment="1" applyProtection="1">
      <alignment horizontal="center" vertical="center"/>
    </xf>
    <xf numFmtId="1" fontId="16" fillId="9" borderId="73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1" fontId="19" fillId="9" borderId="28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  <xf numFmtId="0" fontId="12" fillId="0" borderId="91" xfId="0" applyFont="1" applyFill="1" applyBorder="1" applyAlignment="1" applyProtection="1">
      <alignment vertical="center"/>
    </xf>
    <xf numFmtId="0" fontId="12" fillId="0" borderId="92" xfId="0" applyFont="1" applyFill="1" applyBorder="1" applyAlignment="1" applyProtection="1">
      <alignment vertical="center"/>
    </xf>
    <xf numFmtId="4" fontId="12" fillId="0" borderId="92" xfId="11" applyNumberFormat="1" applyFont="1" applyFill="1" applyBorder="1" applyAlignment="1" applyProtection="1">
      <alignment horizontal="right" vertical="center"/>
    </xf>
    <xf numFmtId="165" fontId="12" fillId="0" borderId="93" xfId="11" applyNumberFormat="1" applyFont="1" applyFill="1" applyBorder="1" applyAlignment="1" applyProtection="1">
      <alignment horizontal="right" vertical="center"/>
    </xf>
    <xf numFmtId="165" fontId="12" fillId="3" borderId="93" xfId="11" applyNumberFormat="1" applyFont="1" applyFill="1" applyBorder="1" applyAlignment="1" applyProtection="1">
      <alignment horizontal="right" vertical="center"/>
    </xf>
    <xf numFmtId="165" fontId="12" fillId="0" borderId="94" xfId="0" applyNumberFormat="1" applyFont="1" applyFill="1" applyBorder="1" applyAlignment="1" applyProtection="1">
      <alignment horizontal="right" vertical="center"/>
    </xf>
    <xf numFmtId="3" fontId="12" fillId="0" borderId="92" xfId="11" applyNumberFormat="1" applyFont="1" applyFill="1" applyBorder="1" applyAlignment="1" applyProtection="1">
      <alignment horizontal="right" vertical="center"/>
    </xf>
    <xf numFmtId="165" fontId="12" fillId="0" borderId="92" xfId="0" applyNumberFormat="1" applyFont="1" applyFill="1" applyBorder="1" applyAlignment="1" applyProtection="1">
      <alignment horizontal="right" vertical="center"/>
    </xf>
    <xf numFmtId="165" fontId="12" fillId="12" borderId="92" xfId="0" applyNumberFormat="1" applyFont="1" applyFill="1" applyBorder="1" applyAlignment="1" applyProtection="1">
      <alignment horizontal="right" vertical="center"/>
    </xf>
    <xf numFmtId="0" fontId="12" fillId="0" borderId="95" xfId="0" applyFont="1" applyFill="1" applyBorder="1" applyAlignment="1" applyProtection="1">
      <alignment vertical="center"/>
    </xf>
    <xf numFmtId="0" fontId="12" fillId="0" borderId="96" xfId="0" applyFont="1" applyFill="1" applyBorder="1" applyAlignment="1" applyProtection="1">
      <alignment vertical="center"/>
    </xf>
    <xf numFmtId="4" fontId="12" fillId="0" borderId="96" xfId="11" applyNumberFormat="1" applyFont="1" applyFill="1" applyBorder="1" applyAlignment="1" applyProtection="1">
      <alignment horizontal="right" vertical="center"/>
    </xf>
    <xf numFmtId="165" fontId="12" fillId="0" borderId="97" xfId="11" applyNumberFormat="1" applyFont="1" applyFill="1" applyBorder="1" applyAlignment="1" applyProtection="1">
      <alignment horizontal="right" vertical="center"/>
    </xf>
    <xf numFmtId="165" fontId="12" fillId="3" borderId="97" xfId="11" applyNumberFormat="1" applyFont="1" applyFill="1" applyBorder="1" applyAlignment="1" applyProtection="1">
      <alignment horizontal="right" vertical="center"/>
    </xf>
    <xf numFmtId="165" fontId="12" fillId="0" borderId="98" xfId="0" applyNumberFormat="1" applyFont="1" applyFill="1" applyBorder="1" applyAlignment="1" applyProtection="1">
      <alignment horizontal="right" vertical="center"/>
    </xf>
    <xf numFmtId="3" fontId="12" fillId="0" borderId="96" xfId="11" applyNumberFormat="1" applyFont="1" applyFill="1" applyBorder="1" applyAlignment="1" applyProtection="1">
      <alignment horizontal="right" vertical="center"/>
    </xf>
    <xf numFmtId="165" fontId="12" fillId="0" borderId="96" xfId="0" applyNumberFormat="1" applyFont="1" applyFill="1" applyBorder="1" applyAlignment="1" applyProtection="1">
      <alignment horizontal="right" vertical="center"/>
    </xf>
    <xf numFmtId="165" fontId="12" fillId="12" borderId="96" xfId="0" applyNumberFormat="1" applyFont="1" applyFill="1" applyBorder="1" applyAlignment="1" applyProtection="1">
      <alignment horizontal="right" vertical="center"/>
    </xf>
    <xf numFmtId="0" fontId="12" fillId="0" borderId="83" xfId="0" applyFont="1" applyFill="1" applyBorder="1" applyAlignment="1" applyProtection="1">
      <alignment vertical="center"/>
    </xf>
    <xf numFmtId="0" fontId="12" fillId="0" borderId="84" xfId="0" applyFont="1" applyFill="1" applyBorder="1" applyAlignment="1" applyProtection="1">
      <alignment vertical="center"/>
    </xf>
    <xf numFmtId="4" fontId="12" fillId="0" borderId="84" xfId="11" applyNumberFormat="1" applyFont="1" applyFill="1" applyBorder="1" applyAlignment="1" applyProtection="1">
      <alignment horizontal="right" vertical="center"/>
    </xf>
    <xf numFmtId="165" fontId="12" fillId="0" borderId="85" xfId="11" applyNumberFormat="1" applyFont="1" applyFill="1" applyBorder="1" applyAlignment="1" applyProtection="1">
      <alignment horizontal="right" vertical="center"/>
    </xf>
    <xf numFmtId="165" fontId="12" fillId="3" borderId="85" xfId="11" applyNumberFormat="1" applyFont="1" applyFill="1" applyBorder="1" applyAlignment="1" applyProtection="1">
      <alignment horizontal="right" vertical="center"/>
    </xf>
    <xf numFmtId="165" fontId="12" fillId="0" borderId="99" xfId="0" applyNumberFormat="1" applyFont="1" applyFill="1" applyBorder="1" applyAlignment="1" applyProtection="1">
      <alignment horizontal="right" vertical="center"/>
    </xf>
    <xf numFmtId="3" fontId="12" fillId="0" borderId="84" xfId="11" applyNumberFormat="1" applyFont="1" applyFill="1" applyBorder="1" applyAlignment="1" applyProtection="1">
      <alignment horizontal="right" vertical="center"/>
    </xf>
    <xf numFmtId="165" fontId="12" fillId="0" borderId="84" xfId="0" applyNumberFormat="1" applyFont="1" applyFill="1" applyBorder="1" applyAlignment="1" applyProtection="1">
      <alignment horizontal="right" vertical="center"/>
    </xf>
    <xf numFmtId="165" fontId="12" fillId="12" borderId="84" xfId="0" applyNumberFormat="1" applyFont="1" applyFill="1" applyBorder="1" applyAlignment="1" applyProtection="1">
      <alignment horizontal="right" vertical="center"/>
    </xf>
    <xf numFmtId="0" fontId="12" fillId="0" borderId="100" xfId="0" applyFont="1" applyFill="1" applyBorder="1" applyAlignment="1" applyProtection="1">
      <alignment vertical="center"/>
    </xf>
    <xf numFmtId="4" fontId="16" fillId="0" borderId="88" xfId="11" applyNumberFormat="1" applyFont="1" applyFill="1" applyBorder="1" applyAlignment="1" applyProtection="1">
      <alignment horizontal="right" vertical="center"/>
    </xf>
    <xf numFmtId="6" fontId="16" fillId="28" borderId="89" xfId="11" applyNumberFormat="1" applyFont="1" applyFill="1" applyBorder="1" applyAlignment="1" applyProtection="1">
      <alignment horizontal="right" vertical="center"/>
    </xf>
    <xf numFmtId="165" fontId="16" fillId="3" borderId="89" xfId="11" applyNumberFormat="1" applyFont="1" applyFill="1" applyBorder="1" applyAlignment="1" applyProtection="1">
      <alignment horizontal="right" vertical="center"/>
    </xf>
    <xf numFmtId="6" fontId="16" fillId="0" borderId="101" xfId="11" applyNumberFormat="1" applyFont="1" applyFill="1" applyBorder="1" applyAlignment="1" applyProtection="1">
      <alignment horizontal="right" vertical="center"/>
    </xf>
    <xf numFmtId="3" fontId="16" fillId="0" borderId="88" xfId="11" applyNumberFormat="1" applyFont="1" applyFill="1" applyBorder="1" applyAlignment="1" applyProtection="1">
      <alignment horizontal="right" vertical="center"/>
    </xf>
    <xf numFmtId="6" fontId="16" fillId="12" borderId="88" xfId="11" applyNumberFormat="1" applyFont="1" applyFill="1" applyBorder="1" applyAlignment="1" applyProtection="1">
      <alignment horizontal="right" vertical="center"/>
    </xf>
    <xf numFmtId="6" fontId="16" fillId="0" borderId="102" xfId="4" applyNumberFormat="1" applyFont="1" applyFill="1" applyBorder="1" applyAlignment="1" applyProtection="1">
      <alignment horizontal="right" vertical="center"/>
    </xf>
    <xf numFmtId="4" fontId="12" fillId="0" borderId="105" xfId="4" applyNumberFormat="1" applyFont="1" applyFill="1" applyBorder="1" applyAlignment="1" applyProtection="1">
      <alignment horizontal="right" vertical="center"/>
    </xf>
    <xf numFmtId="6" fontId="12" fillId="0" borderId="17" xfId="4" applyNumberFormat="1" applyFont="1" applyFill="1" applyBorder="1" applyAlignment="1" applyProtection="1">
      <alignment horizontal="right" vertical="center"/>
    </xf>
    <xf numFmtId="6" fontId="12" fillId="0" borderId="17" xfId="11" applyNumberFormat="1" applyFont="1" applyFill="1" applyBorder="1" applyAlignment="1" applyProtection="1">
      <alignment horizontal="right" vertical="center"/>
    </xf>
    <xf numFmtId="6" fontId="12" fillId="0" borderId="106" xfId="4" applyNumberFormat="1" applyFont="1" applyFill="1" applyBorder="1" applyAlignment="1" applyProtection="1">
      <alignment horizontal="right" vertical="center"/>
    </xf>
    <xf numFmtId="3" fontId="12" fillId="0" borderId="105" xfId="4" applyNumberFormat="1" applyFont="1" applyFill="1" applyBorder="1" applyAlignment="1" applyProtection="1">
      <alignment horizontal="right" vertical="center"/>
    </xf>
    <xf numFmtId="6" fontId="12" fillId="0" borderId="107" xfId="4" applyNumberFormat="1" applyFont="1" applyFill="1" applyBorder="1" applyAlignment="1" applyProtection="1">
      <alignment horizontal="right" vertical="center"/>
    </xf>
    <xf numFmtId="6" fontId="12" fillId="0" borderId="107" xfId="11" applyNumberFormat="1" applyFont="1" applyFill="1" applyBorder="1" applyAlignment="1" applyProtection="1">
      <alignment horizontal="right" vertical="center"/>
    </xf>
    <xf numFmtId="6" fontId="12" fillId="0" borderId="108" xfId="4" applyNumberFormat="1" applyFont="1" applyFill="1" applyBorder="1" applyAlignment="1" applyProtection="1">
      <alignment horizontal="right" vertical="center"/>
    </xf>
    <xf numFmtId="4" fontId="12" fillId="0" borderId="111" xfId="4" applyNumberFormat="1" applyFont="1" applyFill="1" applyBorder="1" applyAlignment="1" applyProtection="1">
      <alignment horizontal="right" vertical="center"/>
    </xf>
    <xf numFmtId="6" fontId="12" fillId="3" borderId="17" xfId="11" applyNumberFormat="1" applyFont="1" applyFill="1" applyBorder="1" applyAlignment="1" applyProtection="1">
      <alignment horizontal="right" vertical="center"/>
    </xf>
    <xf numFmtId="6" fontId="12" fillId="0" borderId="112" xfId="4" applyNumberFormat="1" applyFont="1" applyFill="1" applyBorder="1" applyAlignment="1" applyProtection="1">
      <alignment horizontal="right" vertical="center"/>
    </xf>
    <xf numFmtId="3" fontId="12" fillId="0" borderId="113" xfId="4" applyNumberFormat="1" applyFont="1" applyFill="1" applyBorder="1" applyAlignment="1" applyProtection="1">
      <alignment horizontal="right" vertical="center"/>
    </xf>
    <xf numFmtId="4" fontId="12" fillId="0" borderId="113" xfId="4" applyNumberFormat="1" applyFont="1" applyFill="1" applyBorder="1" applyAlignment="1" applyProtection="1">
      <alignment horizontal="right" vertical="center"/>
    </xf>
    <xf numFmtId="4" fontId="12" fillId="0" borderId="114" xfId="4" applyNumberFormat="1" applyFont="1" applyFill="1" applyBorder="1" applyAlignment="1" applyProtection="1">
      <alignment horizontal="right" vertical="center"/>
    </xf>
    <xf numFmtId="6" fontId="12" fillId="0" borderId="115" xfId="4" applyNumberFormat="1" applyFont="1" applyFill="1" applyBorder="1" applyAlignment="1" applyProtection="1">
      <alignment horizontal="right" vertical="center"/>
    </xf>
    <xf numFmtId="3" fontId="12" fillId="0" borderId="114" xfId="4" applyNumberFormat="1" applyFont="1" applyFill="1" applyBorder="1" applyAlignment="1" applyProtection="1">
      <alignment horizontal="right" vertical="center"/>
    </xf>
    <xf numFmtId="3" fontId="12" fillId="0" borderId="118" xfId="4" applyNumberFormat="1" applyFont="1" applyFill="1" applyBorder="1" applyAlignment="1" applyProtection="1">
      <alignment horizontal="right" vertical="center"/>
    </xf>
    <xf numFmtId="4" fontId="12" fillId="0" borderId="118" xfId="4" applyNumberFormat="1" applyFont="1" applyFill="1" applyBorder="1" applyAlignment="1" applyProtection="1">
      <alignment horizontal="right" vertical="center"/>
    </xf>
    <xf numFmtId="4" fontId="12" fillId="0" borderId="121" xfId="4" applyNumberFormat="1" applyFont="1" applyFill="1" applyBorder="1" applyAlignment="1" applyProtection="1">
      <alignment horizontal="right" vertical="center"/>
    </xf>
    <xf numFmtId="6" fontId="12" fillId="0" borderId="122" xfId="4" applyNumberFormat="1" applyFont="1" applyFill="1" applyBorder="1" applyAlignment="1" applyProtection="1">
      <alignment horizontal="right" vertical="center"/>
    </xf>
    <xf numFmtId="6" fontId="12" fillId="0" borderId="123" xfId="4" applyNumberFormat="1" applyFont="1" applyFill="1" applyBorder="1" applyAlignment="1" applyProtection="1">
      <alignment horizontal="right" vertical="center"/>
    </xf>
    <xf numFmtId="3" fontId="12" fillId="0" borderId="124" xfId="4" applyNumberFormat="1" applyFont="1" applyFill="1" applyBorder="1" applyAlignment="1" applyProtection="1">
      <alignment horizontal="right" vertical="center"/>
    </xf>
    <xf numFmtId="4" fontId="12" fillId="0" borderId="124" xfId="4" applyNumberFormat="1" applyFont="1" applyFill="1" applyBorder="1" applyAlignment="1" applyProtection="1">
      <alignment horizontal="right" vertical="center"/>
    </xf>
    <xf numFmtId="6" fontId="12" fillId="0" borderId="125" xfId="4" applyNumberFormat="1" applyFont="1" applyFill="1" applyBorder="1" applyAlignment="1" applyProtection="1">
      <alignment horizontal="right" vertical="center"/>
    </xf>
    <xf numFmtId="6" fontId="12" fillId="0" borderId="126" xfId="11" applyNumberFormat="1" applyFont="1" applyFill="1" applyBorder="1" applyAlignment="1" applyProtection="1">
      <alignment horizontal="right" vertical="center"/>
    </xf>
    <xf numFmtId="4" fontId="16" fillId="0" borderId="129" xfId="11" applyNumberFormat="1" applyFont="1" applyFill="1" applyBorder="1" applyAlignment="1" applyProtection="1">
      <alignment horizontal="right" vertical="center"/>
    </xf>
    <xf numFmtId="6" fontId="16" fillId="28" borderId="130" xfId="11" applyNumberFormat="1" applyFont="1" applyFill="1" applyBorder="1" applyAlignment="1" applyProtection="1">
      <alignment horizontal="right" vertical="center"/>
    </xf>
    <xf numFmtId="165" fontId="16" fillId="3" borderId="130" xfId="11" applyNumberFormat="1" applyFont="1" applyFill="1" applyBorder="1" applyAlignment="1" applyProtection="1">
      <alignment horizontal="right" vertical="center"/>
    </xf>
    <xf numFmtId="6" fontId="16" fillId="0" borderId="130" xfId="11" applyNumberFormat="1" applyFont="1" applyFill="1" applyBorder="1" applyAlignment="1" applyProtection="1">
      <alignment horizontal="right" vertical="center"/>
    </xf>
    <xf numFmtId="6" fontId="16" fillId="0" borderId="131" xfId="11" applyNumberFormat="1" applyFont="1" applyFill="1" applyBorder="1" applyAlignment="1" applyProtection="1">
      <alignment horizontal="right" vertical="center"/>
    </xf>
    <xf numFmtId="3" fontId="16" fillId="0" borderId="132" xfId="11" applyNumberFormat="1" applyFont="1" applyFill="1" applyBorder="1" applyAlignment="1" applyProtection="1">
      <alignment horizontal="right" vertical="center"/>
    </xf>
    <xf numFmtId="4" fontId="16" fillId="0" borderId="132" xfId="11" applyNumberFormat="1" applyFont="1" applyFill="1" applyBorder="1" applyAlignment="1" applyProtection="1">
      <alignment horizontal="right" vertical="center"/>
    </xf>
    <xf numFmtId="6" fontId="16" fillId="12" borderId="132" xfId="11" applyNumberFormat="1" applyFont="1" applyFill="1" applyBorder="1" applyAlignment="1" applyProtection="1">
      <alignment horizontal="right" vertical="center"/>
    </xf>
    <xf numFmtId="6" fontId="16" fillId="0" borderId="133" xfId="4" applyNumberFormat="1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49" fontId="24" fillId="4" borderId="138" xfId="4" applyNumberFormat="1" applyFont="1" applyFill="1" applyBorder="1" applyAlignment="1" applyProtection="1">
      <alignment horizontal="center" vertical="center" wrapText="1"/>
    </xf>
    <xf numFmtId="49" fontId="24" fillId="4" borderId="139" xfId="4" applyNumberFormat="1" applyFont="1" applyFill="1" applyBorder="1" applyAlignment="1" applyProtection="1">
      <alignment horizontal="center" vertical="center" wrapText="1"/>
    </xf>
    <xf numFmtId="49" fontId="24" fillId="4" borderId="143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13" fillId="3" borderId="137" xfId="0" applyFont="1" applyFill="1" applyBorder="1" applyAlignment="1" applyProtection="1">
      <alignment horizontal="center" vertical="center" wrapText="1"/>
    </xf>
    <xf numFmtId="0" fontId="13" fillId="3" borderId="144" xfId="0" applyFont="1" applyFill="1" applyBorder="1" applyAlignment="1" applyProtection="1">
      <alignment horizontal="center" vertical="center" wrapText="1"/>
    </xf>
    <xf numFmtId="0" fontId="13" fillId="5" borderId="144" xfId="0" applyFont="1" applyFill="1" applyBorder="1" applyAlignment="1" applyProtection="1">
      <alignment horizontal="center" vertical="center" wrapText="1"/>
    </xf>
    <xf numFmtId="49" fontId="13" fillId="5" borderId="134" xfId="4" applyNumberFormat="1" applyFont="1" applyFill="1" applyBorder="1" applyAlignment="1" applyProtection="1">
      <alignment horizontal="center" vertical="center" wrapText="1"/>
    </xf>
    <xf numFmtId="0" fontId="13" fillId="3" borderId="28" xfId="0" applyFont="1" applyFill="1" applyBorder="1" applyAlignment="1" applyProtection="1">
      <alignment horizontal="center" vertical="center" wrapText="1"/>
    </xf>
    <xf numFmtId="1" fontId="12" fillId="9" borderId="134" xfId="4" applyNumberFormat="1" applyFont="1" applyFill="1" applyBorder="1" applyAlignment="1" applyProtection="1">
      <alignment horizontal="center" vertical="center"/>
    </xf>
    <xf numFmtId="1" fontId="16" fillId="9" borderId="134" xfId="4" applyNumberFormat="1" applyFont="1" applyFill="1" applyBorder="1" applyAlignment="1" applyProtection="1">
      <alignment horizontal="center" vertical="center"/>
    </xf>
    <xf numFmtId="1" fontId="17" fillId="9" borderId="134" xfId="4" quotePrefix="1" applyNumberFormat="1" applyFont="1" applyFill="1" applyBorder="1" applyAlignment="1" applyProtection="1">
      <alignment horizontal="center" vertical="center"/>
    </xf>
    <xf numFmtId="1" fontId="19" fillId="9" borderId="134" xfId="4" applyNumberFormat="1" applyFont="1" applyFill="1" applyBorder="1" applyAlignment="1" applyProtection="1">
      <alignment horizontal="center" vertical="center"/>
    </xf>
    <xf numFmtId="1" fontId="20" fillId="9" borderId="134" xfId="0" applyNumberFormat="1" applyFont="1" applyFill="1" applyBorder="1" applyAlignment="1" applyProtection="1">
      <alignment horizontal="center" vertical="center" wrapText="1"/>
    </xf>
    <xf numFmtId="0" fontId="12" fillId="0" borderId="145" xfId="4" applyFont="1" applyFill="1" applyBorder="1" applyAlignment="1" applyProtection="1">
      <alignment vertical="center"/>
    </xf>
    <xf numFmtId="0" fontId="12" fillId="0" borderId="146" xfId="4" applyFont="1" applyFill="1" applyBorder="1" applyAlignment="1" applyProtection="1">
      <alignment vertical="center"/>
    </xf>
    <xf numFmtId="3" fontId="12" fillId="0" borderId="146" xfId="11" applyNumberFormat="1" applyFont="1" applyFill="1" applyBorder="1" applyAlignment="1" applyProtection="1">
      <alignment horizontal="right" vertical="center"/>
    </xf>
    <xf numFmtId="6" fontId="12" fillId="0" borderId="147" xfId="11" applyNumberFormat="1" applyFont="1" applyFill="1" applyBorder="1" applyAlignment="1" applyProtection="1">
      <alignment horizontal="right" vertical="center"/>
    </xf>
    <xf numFmtId="6" fontId="12" fillId="5" borderId="147" xfId="11" applyNumberFormat="1" applyFont="1" applyFill="1" applyBorder="1" applyAlignment="1" applyProtection="1">
      <alignment horizontal="right" vertical="center"/>
    </xf>
    <xf numFmtId="6" fontId="12" fillId="3" borderId="147" xfId="11" applyNumberFormat="1" applyFont="1" applyFill="1" applyBorder="1" applyAlignment="1" applyProtection="1">
      <alignment horizontal="right" vertical="center"/>
    </xf>
    <xf numFmtId="6" fontId="12" fillId="3" borderId="148" xfId="11" applyNumberFormat="1" applyFont="1" applyFill="1" applyBorder="1" applyAlignment="1" applyProtection="1">
      <alignment horizontal="right" vertical="center"/>
    </xf>
    <xf numFmtId="3" fontId="12" fillId="0" borderId="15" xfId="11" applyNumberFormat="1" applyFont="1" applyFill="1" applyBorder="1" applyAlignment="1" applyProtection="1">
      <alignment horizontal="right" vertical="center"/>
    </xf>
    <xf numFmtId="3" fontId="12" fillId="0" borderId="15" xfId="4" applyNumberFormat="1" applyFont="1" applyFill="1" applyBorder="1" applyAlignment="1" applyProtection="1">
      <alignment horizontal="right" vertical="center"/>
    </xf>
    <xf numFmtId="6" fontId="12" fillId="0" borderId="82" xfId="4" applyNumberFormat="1" applyFont="1" applyFill="1" applyBorder="1" applyAlignment="1" applyProtection="1">
      <alignment horizontal="right" vertical="center"/>
    </xf>
    <xf numFmtId="6" fontId="12" fillId="5" borderId="82" xfId="4" applyNumberFormat="1" applyFont="1" applyFill="1" applyBorder="1" applyAlignment="1" applyProtection="1">
      <alignment horizontal="right" vertical="center"/>
    </xf>
    <xf numFmtId="6" fontId="12" fillId="3" borderId="82" xfId="4" applyNumberFormat="1" applyFont="1" applyFill="1" applyBorder="1" applyAlignment="1" applyProtection="1">
      <alignment horizontal="right" vertical="center"/>
    </xf>
    <xf numFmtId="0" fontId="12" fillId="0" borderId="149" xfId="4" applyFont="1" applyFill="1" applyBorder="1" applyAlignment="1" applyProtection="1">
      <alignment vertical="center"/>
    </xf>
    <xf numFmtId="0" fontId="12" fillId="0" borderId="34" xfId="4" applyFont="1" applyFill="1" applyBorder="1" applyAlignment="1" applyProtection="1">
      <alignment vertical="center"/>
    </xf>
    <xf numFmtId="3" fontId="12" fillId="0" borderId="34" xfId="4" applyNumberFormat="1" applyFont="1" applyFill="1" applyBorder="1" applyAlignment="1" applyProtection="1">
      <alignment horizontal="right" vertical="center"/>
    </xf>
    <xf numFmtId="6" fontId="12" fillId="0" borderId="150" xfId="4" applyNumberFormat="1" applyFont="1" applyFill="1" applyBorder="1" applyAlignment="1" applyProtection="1">
      <alignment horizontal="right" vertical="center"/>
    </xf>
    <xf numFmtId="6" fontId="12" fillId="5" borderId="150" xfId="4" applyNumberFormat="1" applyFont="1" applyFill="1" applyBorder="1" applyAlignment="1" applyProtection="1">
      <alignment horizontal="right" vertical="center"/>
    </xf>
    <xf numFmtId="6" fontId="12" fillId="3" borderId="150" xfId="4" applyNumberFormat="1" applyFont="1" applyFill="1" applyBorder="1" applyAlignment="1" applyProtection="1">
      <alignment horizontal="right" vertical="center"/>
    </xf>
    <xf numFmtId="6" fontId="12" fillId="0" borderId="151" xfId="11" applyNumberFormat="1" applyFont="1" applyFill="1" applyBorder="1" applyAlignment="1" applyProtection="1">
      <alignment horizontal="right" vertical="center"/>
    </xf>
    <xf numFmtId="6" fontId="12" fillId="3" borderId="151" xfId="11" applyNumberFormat="1" applyFont="1" applyFill="1" applyBorder="1" applyAlignment="1" applyProtection="1">
      <alignment horizontal="right" vertical="center"/>
    </xf>
    <xf numFmtId="6" fontId="16" fillId="5" borderId="130" xfId="11" applyNumberFormat="1" applyFont="1" applyFill="1" applyBorder="1" applyAlignment="1" applyProtection="1">
      <alignment horizontal="right" vertical="center"/>
    </xf>
    <xf numFmtId="6" fontId="16" fillId="3" borderId="130" xfId="11" applyNumberFormat="1" applyFont="1" applyFill="1" applyBorder="1" applyAlignment="1" applyProtection="1">
      <alignment horizontal="right" vertical="center"/>
    </xf>
    <xf numFmtId="3" fontId="12" fillId="0" borderId="156" xfId="4" applyNumberFormat="1" applyFont="1" applyFill="1" applyBorder="1" applyAlignment="1" applyProtection="1">
      <alignment horizontal="right" vertical="center"/>
    </xf>
    <xf numFmtId="6" fontId="12" fillId="0" borderId="151" xfId="4" applyNumberFormat="1" applyFont="1" applyFill="1" applyBorder="1" applyAlignment="1" applyProtection="1">
      <alignment horizontal="right" vertical="center"/>
    </xf>
    <xf numFmtId="3" fontId="12" fillId="0" borderId="158" xfId="4" applyNumberFormat="1" applyFont="1" applyFill="1" applyBorder="1" applyAlignment="1" applyProtection="1">
      <alignment horizontal="right" vertical="center"/>
    </xf>
    <xf numFmtId="6" fontId="12" fillId="0" borderId="159" xfId="4" applyNumberFormat="1" applyFont="1" applyFill="1" applyBorder="1" applyAlignment="1" applyProtection="1">
      <alignment horizontal="right" vertical="center"/>
    </xf>
    <xf numFmtId="3" fontId="12" fillId="0" borderId="162" xfId="4" applyNumberFormat="1" applyFont="1" applyFill="1" applyBorder="1" applyAlignment="1" applyProtection="1">
      <alignment horizontal="right" vertical="center"/>
    </xf>
    <xf numFmtId="6" fontId="12" fillId="0" borderId="23" xfId="4" applyNumberFormat="1" applyFont="1" applyFill="1" applyBorder="1" applyAlignment="1" applyProtection="1">
      <alignment horizontal="right" vertical="center"/>
    </xf>
    <xf numFmtId="6" fontId="12" fillId="0" borderId="163" xfId="4" applyNumberFormat="1" applyFont="1" applyFill="1" applyBorder="1" applyAlignment="1" applyProtection="1">
      <alignment horizontal="right" vertical="center"/>
    </xf>
    <xf numFmtId="6" fontId="12" fillId="3" borderId="45" xfId="11" applyNumberFormat="1" applyFont="1" applyFill="1" applyBorder="1" applyAlignment="1" applyProtection="1">
      <alignment horizontal="right" vertical="center"/>
    </xf>
    <xf numFmtId="6" fontId="12" fillId="0" borderId="45" xfId="11" applyNumberFormat="1" applyFont="1" applyFill="1" applyBorder="1" applyAlignment="1" applyProtection="1">
      <alignment horizontal="right" vertical="center"/>
    </xf>
    <xf numFmtId="6" fontId="12" fillId="0" borderId="45" xfId="4" applyNumberFormat="1" applyFont="1" applyFill="1" applyBorder="1" applyAlignment="1" applyProtection="1">
      <alignment horizontal="right" vertical="center"/>
    </xf>
    <xf numFmtId="49" fontId="24" fillId="4" borderId="33" xfId="4" applyNumberFormat="1" applyFont="1" applyFill="1" applyBorder="1" applyAlignment="1" applyProtection="1">
      <alignment horizontal="center" vertical="center" wrapText="1"/>
    </xf>
    <xf numFmtId="49" fontId="24" fillId="4" borderId="165" xfId="4" applyNumberFormat="1" applyFont="1" applyFill="1" applyBorder="1" applyAlignment="1" applyProtection="1">
      <alignment horizontal="center" vertical="center" wrapText="1"/>
    </xf>
    <xf numFmtId="49" fontId="24" fillId="4" borderId="166" xfId="4" applyNumberFormat="1" applyFont="1" applyFill="1" applyBorder="1" applyAlignment="1" applyProtection="1">
      <alignment horizontal="center" vertical="center" wrapText="1"/>
    </xf>
    <xf numFmtId="3" fontId="12" fillId="0" borderId="167" xfId="4" applyNumberFormat="1" applyFont="1" applyFill="1" applyBorder="1" applyAlignment="1" applyProtection="1">
      <alignment horizontal="right" vertical="center"/>
    </xf>
    <xf numFmtId="0" fontId="35" fillId="4" borderId="33" xfId="0" applyFont="1" applyFill="1" applyBorder="1" applyAlignment="1" applyProtection="1">
      <alignment horizontal="center" wrapText="1"/>
    </xf>
    <xf numFmtId="165" fontId="41" fillId="4" borderId="165" xfId="1" applyNumberFormat="1" applyFont="1" applyFill="1" applyBorder="1" applyAlignment="1" applyProtection="1">
      <alignment horizontal="center"/>
    </xf>
    <xf numFmtId="0" fontId="0" fillId="4" borderId="165" xfId="0" applyFill="1" applyBorder="1" applyAlignment="1" applyProtection="1">
      <alignment horizontal="center"/>
    </xf>
    <xf numFmtId="0" fontId="24" fillId="4" borderId="165" xfId="0" applyFont="1" applyFill="1" applyBorder="1" applyAlignment="1" applyProtection="1">
      <alignment vertical="center" wrapText="1"/>
    </xf>
    <xf numFmtId="0" fontId="24" fillId="4" borderId="165" xfId="0" quotePrefix="1" applyFont="1" applyFill="1" applyBorder="1" applyAlignment="1" applyProtection="1">
      <alignment vertical="center" wrapText="1"/>
    </xf>
    <xf numFmtId="0" fontId="0" fillId="4" borderId="165" xfId="0" applyFill="1" applyBorder="1" applyProtection="1"/>
    <xf numFmtId="0" fontId="42" fillId="4" borderId="165" xfId="0" applyFont="1" applyFill="1" applyBorder="1" applyAlignment="1" applyProtection="1">
      <alignment vertical="center"/>
    </xf>
    <xf numFmtId="0" fontId="42" fillId="4" borderId="165" xfId="0" applyFont="1" applyFill="1" applyBorder="1" applyAlignment="1" applyProtection="1">
      <alignment horizontal="center" vertical="center"/>
    </xf>
    <xf numFmtId="0" fontId="0" fillId="4" borderId="166" xfId="0" applyFill="1" applyBorder="1" applyProtection="1"/>
    <xf numFmtId="0" fontId="0" fillId="4" borderId="168" xfId="0" applyFill="1" applyBorder="1" applyProtection="1"/>
    <xf numFmtId="0" fontId="0" fillId="11" borderId="33" xfId="0" applyFill="1" applyBorder="1" applyProtection="1"/>
    <xf numFmtId="0" fontId="0" fillId="11" borderId="165" xfId="0" applyFill="1" applyBorder="1" applyProtection="1"/>
    <xf numFmtId="0" fontId="42" fillId="11" borderId="165" xfId="0" applyFont="1" applyFill="1" applyBorder="1" applyAlignment="1" applyProtection="1">
      <alignment vertical="center"/>
    </xf>
    <xf numFmtId="0" fontId="42" fillId="11" borderId="166" xfId="0" applyFont="1" applyFill="1" applyBorder="1" applyAlignment="1" applyProtection="1">
      <alignment vertical="center"/>
    </xf>
    <xf numFmtId="0" fontId="0" fillId="11" borderId="166" xfId="0" applyFill="1" applyBorder="1" applyProtection="1"/>
    <xf numFmtId="15" fontId="13" fillId="3" borderId="134" xfId="0" applyNumberFormat="1" applyFont="1" applyFill="1" applyBorder="1" applyAlignment="1" applyProtection="1">
      <alignment horizontal="center" vertical="center" wrapText="1"/>
    </xf>
    <xf numFmtId="49" fontId="13" fillId="3" borderId="134" xfId="4" applyNumberFormat="1" applyFont="1" applyFill="1" applyBorder="1" applyAlignment="1" applyProtection="1">
      <alignment horizontal="center" vertical="center" wrapText="1"/>
    </xf>
    <xf numFmtId="0" fontId="13" fillId="3" borderId="134" xfId="0" applyFont="1" applyFill="1" applyBorder="1" applyAlignment="1" applyProtection="1">
      <alignment horizontal="center" vertical="center" wrapText="1"/>
    </xf>
    <xf numFmtId="49" fontId="13" fillId="3" borderId="144" xfId="4" applyNumberFormat="1" applyFont="1" applyFill="1" applyBorder="1" applyAlignment="1" applyProtection="1">
      <alignment horizontal="center" vertical="center" wrapText="1"/>
    </xf>
    <xf numFmtId="0" fontId="13" fillId="3" borderId="134" xfId="9" applyFont="1" applyFill="1" applyBorder="1" applyAlignment="1" applyProtection="1">
      <alignment horizontal="center" vertical="center" wrapText="1"/>
    </xf>
    <xf numFmtId="0" fontId="13" fillId="8" borderId="134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center" wrapText="1"/>
    </xf>
    <xf numFmtId="0" fontId="10" fillId="8" borderId="134" xfId="0" quotePrefix="1" applyFont="1" applyFill="1" applyBorder="1" applyAlignment="1" applyProtection="1">
      <alignment horizontal="center" vertical="center" wrapText="1"/>
    </xf>
    <xf numFmtId="49" fontId="13" fillId="12" borderId="134" xfId="4" applyNumberFormat="1" applyFont="1" applyFill="1" applyBorder="1" applyAlignment="1" applyProtection="1">
      <alignment horizontal="center" vertical="center" wrapText="1"/>
    </xf>
    <xf numFmtId="0" fontId="13" fillId="12" borderId="134" xfId="0" applyFont="1" applyFill="1" applyBorder="1" applyAlignment="1" applyProtection="1">
      <alignment horizontal="center" vertical="center" wrapText="1"/>
    </xf>
    <xf numFmtId="49" fontId="13" fillId="5" borderId="144" xfId="4" applyNumberFormat="1" applyFont="1" applyFill="1" applyBorder="1" applyAlignment="1" applyProtection="1">
      <alignment horizontal="center" vertical="center" wrapText="1"/>
    </xf>
    <xf numFmtId="0" fontId="13" fillId="12" borderId="142" xfId="0" applyFont="1" applyFill="1" applyBorder="1" applyAlignment="1" applyProtection="1">
      <alignment horizontal="center" vertical="center" wrapText="1"/>
    </xf>
    <xf numFmtId="0" fontId="13" fillId="12" borderId="134" xfId="9" applyFont="1" applyFill="1" applyBorder="1" applyAlignment="1" applyProtection="1">
      <alignment horizontal="center" vertical="center" wrapText="1"/>
    </xf>
    <xf numFmtId="0" fontId="0" fillId="9" borderId="134" xfId="0" applyFill="1" applyBorder="1" applyAlignment="1" applyProtection="1">
      <alignment horizontal="center"/>
    </xf>
    <xf numFmtId="0" fontId="0" fillId="9" borderId="134" xfId="0" applyFill="1" applyBorder="1" applyProtection="1"/>
    <xf numFmtId="1" fontId="17" fillId="9" borderId="134" xfId="0" quotePrefix="1" applyNumberFormat="1" applyFont="1" applyFill="1" applyBorder="1" applyAlignment="1" applyProtection="1">
      <alignment horizontal="center"/>
    </xf>
    <xf numFmtId="0" fontId="19" fillId="9" borderId="138" xfId="0" applyFont="1" applyFill="1" applyBorder="1" applyAlignment="1" applyProtection="1">
      <alignment horizontal="center"/>
    </xf>
    <xf numFmtId="0" fontId="19" fillId="9" borderId="138" xfId="0" applyFont="1" applyFill="1" applyBorder="1" applyProtection="1"/>
    <xf numFmtId="1" fontId="20" fillId="9" borderId="134" xfId="0" quotePrefix="1" applyNumberFormat="1" applyFont="1" applyFill="1" applyBorder="1" applyAlignment="1" applyProtection="1">
      <alignment horizontal="center" vertical="center" wrapText="1"/>
    </xf>
    <xf numFmtId="0" fontId="12" fillId="0" borderId="138" xfId="0" applyFont="1" applyBorder="1" applyAlignment="1" applyProtection="1">
      <alignment horizontal="center" vertical="center" wrapText="1"/>
    </xf>
    <xf numFmtId="0" fontId="12" fillId="0" borderId="138" xfId="0" applyFont="1" applyFill="1" applyBorder="1" applyAlignment="1" applyProtection="1">
      <alignment vertical="center" wrapText="1"/>
    </xf>
    <xf numFmtId="3" fontId="12" fillId="0" borderId="138" xfId="0" applyNumberFormat="1" applyFont="1" applyFill="1" applyBorder="1" applyAlignment="1" applyProtection="1">
      <alignment horizontal="right" vertical="center"/>
    </xf>
    <xf numFmtId="6" fontId="12" fillId="0" borderId="138" xfId="0" applyNumberFormat="1" applyFont="1" applyBorder="1" applyAlignment="1" applyProtection="1">
      <alignment horizontal="right" vertical="center"/>
    </xf>
    <xf numFmtId="6" fontId="12" fillId="0" borderId="14" xfId="0" applyNumberFormat="1" applyFont="1" applyBorder="1" applyAlignment="1" applyProtection="1">
      <alignment horizontal="right" vertical="center"/>
    </xf>
    <xf numFmtId="6" fontId="12" fillId="0" borderId="14" xfId="0" applyNumberFormat="1" applyFont="1" applyFill="1" applyBorder="1" applyAlignment="1" applyProtection="1">
      <alignment horizontal="right" vertical="center"/>
    </xf>
    <xf numFmtId="6" fontId="12" fillId="3" borderId="14" xfId="0" applyNumberFormat="1" applyFont="1" applyFill="1" applyBorder="1" applyAlignment="1" applyProtection="1">
      <alignment horizontal="right" vertical="center"/>
    </xf>
    <xf numFmtId="6" fontId="12" fillId="26" borderId="14" xfId="0" applyNumberFormat="1" applyFont="1" applyFill="1" applyBorder="1" applyAlignment="1" applyProtection="1">
      <alignment horizontal="right" vertical="center"/>
    </xf>
    <xf numFmtId="6" fontId="12" fillId="5" borderId="14" xfId="0" applyNumberFormat="1" applyFont="1" applyFill="1" applyBorder="1" applyAlignment="1" applyProtection="1">
      <alignment horizontal="right" vertical="center"/>
    </xf>
    <xf numFmtId="6" fontId="12" fillId="28" borderId="14" xfId="0" applyNumberFormat="1" applyFont="1" applyFill="1" applyBorder="1" applyAlignment="1" applyProtection="1">
      <alignment horizontal="right" vertical="center"/>
    </xf>
    <xf numFmtId="6" fontId="12" fillId="12" borderId="14" xfId="0" applyNumberFormat="1" applyFont="1" applyFill="1" applyBorder="1" applyAlignment="1" applyProtection="1">
      <alignment horizontal="right" vertical="center"/>
    </xf>
    <xf numFmtId="38" fontId="12" fillId="0" borderId="14" xfId="0" applyNumberFormat="1" applyFont="1" applyBorder="1" applyAlignment="1" applyProtection="1">
      <alignment horizontal="right" vertical="center"/>
    </xf>
    <xf numFmtId="0" fontId="12" fillId="0" borderId="138" xfId="0" applyFont="1" applyFill="1" applyBorder="1" applyAlignment="1" applyProtection="1">
      <alignment horizontal="center" vertical="center" wrapText="1"/>
    </xf>
    <xf numFmtId="0" fontId="16" fillId="0" borderId="169" xfId="0" applyFont="1" applyBorder="1" applyProtection="1"/>
    <xf numFmtId="0" fontId="16" fillId="0" borderId="170" xfId="0" applyFont="1" applyBorder="1" applyAlignment="1" applyProtection="1">
      <alignment horizontal="center" vertical="center" wrapText="1"/>
    </xf>
    <xf numFmtId="0" fontId="16" fillId="0" borderId="170" xfId="0" applyFont="1" applyBorder="1" applyAlignment="1" applyProtection="1">
      <alignment vertical="center" wrapText="1"/>
    </xf>
    <xf numFmtId="3" fontId="16" fillId="0" borderId="170" xfId="0" applyNumberFormat="1" applyFont="1" applyFill="1" applyBorder="1" applyAlignment="1" applyProtection="1">
      <alignment horizontal="right" vertical="center"/>
    </xf>
    <xf numFmtId="6" fontId="16" fillId="0" borderId="170" xfId="0" applyNumberFormat="1" applyFont="1" applyBorder="1" applyAlignment="1" applyProtection="1">
      <alignment horizontal="right" vertical="center"/>
    </xf>
    <xf numFmtId="6" fontId="16" fillId="0" borderId="169" xfId="0" applyNumberFormat="1" applyFont="1" applyBorder="1" applyAlignment="1" applyProtection="1">
      <alignment horizontal="right" vertical="center"/>
    </xf>
    <xf numFmtId="6" fontId="16" fillId="26" borderId="169" xfId="0" applyNumberFormat="1" applyFont="1" applyFill="1" applyBorder="1" applyAlignment="1" applyProtection="1">
      <alignment horizontal="right" vertical="center"/>
    </xf>
    <xf numFmtId="6" fontId="16" fillId="3" borderId="169" xfId="0" applyNumberFormat="1" applyFont="1" applyFill="1" applyBorder="1" applyAlignment="1" applyProtection="1">
      <alignment horizontal="right" vertical="center"/>
    </xf>
    <xf numFmtId="6" fontId="16" fillId="5" borderId="169" xfId="0" applyNumberFormat="1" applyFont="1" applyFill="1" applyBorder="1" applyAlignment="1" applyProtection="1">
      <alignment horizontal="right" vertical="center"/>
    </xf>
    <xf numFmtId="6" fontId="16" fillId="0" borderId="169" xfId="0" applyNumberFormat="1" applyFont="1" applyFill="1" applyBorder="1" applyAlignment="1" applyProtection="1">
      <alignment horizontal="right" vertical="center"/>
    </xf>
    <xf numFmtId="6" fontId="16" fillId="12" borderId="169" xfId="0" applyNumberFormat="1" applyFont="1" applyFill="1" applyBorder="1" applyAlignment="1" applyProtection="1">
      <alignment horizontal="right" vertical="center"/>
    </xf>
    <xf numFmtId="38" fontId="16" fillId="0" borderId="169" xfId="0" applyNumberFormat="1" applyFont="1" applyBorder="1" applyAlignment="1" applyProtection="1">
      <alignment horizontal="right" vertical="center"/>
    </xf>
    <xf numFmtId="0" fontId="16" fillId="0" borderId="0" xfId="0" applyFont="1" applyProtection="1"/>
    <xf numFmtId="0" fontId="16" fillId="28" borderId="14" xfId="0" applyFont="1" applyFill="1" applyBorder="1" applyAlignment="1" applyProtection="1">
      <alignment horizontal="center" vertical="center" wrapText="1"/>
    </xf>
    <xf numFmtId="0" fontId="16" fillId="28" borderId="14" xfId="0" applyFont="1" applyFill="1" applyBorder="1" applyAlignment="1" applyProtection="1">
      <alignment vertical="center" wrapText="1"/>
    </xf>
    <xf numFmtId="3" fontId="12" fillId="28" borderId="14" xfId="0" applyNumberFormat="1" applyFont="1" applyFill="1" applyBorder="1" applyAlignment="1" applyProtection="1">
      <alignment horizontal="right" vertical="center"/>
    </xf>
    <xf numFmtId="38" fontId="12" fillId="28" borderId="14" xfId="0" applyNumberFormat="1" applyFont="1" applyFill="1" applyBorder="1" applyAlignment="1" applyProtection="1">
      <alignment horizontal="right" vertical="center"/>
    </xf>
    <xf numFmtId="171" fontId="16" fillId="0" borderId="169" xfId="0" applyNumberFormat="1" applyFont="1" applyBorder="1" applyAlignment="1" applyProtection="1">
      <alignment horizontal="right" vertical="center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vertical="center" wrapText="1"/>
    </xf>
    <xf numFmtId="3" fontId="16" fillId="0" borderId="29" xfId="0" applyNumberFormat="1" applyFont="1" applyFill="1" applyBorder="1" applyAlignment="1" applyProtection="1">
      <alignment horizontal="right" vertical="center"/>
    </xf>
    <xf numFmtId="38" fontId="16" fillId="0" borderId="29" xfId="0" applyNumberFormat="1" applyFont="1" applyBorder="1" applyAlignment="1" applyProtection="1">
      <alignment horizontal="left" vertical="center"/>
    </xf>
    <xf numFmtId="6" fontId="16" fillId="0" borderId="29" xfId="0" applyNumberFormat="1" applyFont="1" applyFill="1" applyBorder="1" applyAlignment="1" applyProtection="1">
      <alignment horizontal="right" vertical="center"/>
    </xf>
    <xf numFmtId="6" fontId="16" fillId="3" borderId="29" xfId="0" applyNumberFormat="1" applyFont="1" applyFill="1" applyBorder="1" applyAlignment="1" applyProtection="1">
      <alignment horizontal="right" vertical="center"/>
    </xf>
    <xf numFmtId="6" fontId="16" fillId="26" borderId="29" xfId="0" applyNumberFormat="1" applyFont="1" applyFill="1" applyBorder="1" applyAlignment="1" applyProtection="1">
      <alignment horizontal="right" vertical="center"/>
    </xf>
    <xf numFmtId="6" fontId="16" fillId="5" borderId="29" xfId="0" applyNumberFormat="1" applyFont="1" applyFill="1" applyBorder="1" applyAlignment="1" applyProtection="1">
      <alignment horizontal="right" vertical="center"/>
    </xf>
    <xf numFmtId="6" fontId="16" fillId="0" borderId="29" xfId="0" applyNumberFormat="1" applyFont="1" applyBorder="1" applyAlignment="1" applyProtection="1">
      <alignment horizontal="right" vertical="center"/>
    </xf>
    <xf numFmtId="6" fontId="16" fillId="12" borderId="29" xfId="0" applyNumberFormat="1" applyFont="1" applyFill="1" applyBorder="1" applyAlignment="1" applyProtection="1">
      <alignment horizontal="right" vertical="center"/>
    </xf>
    <xf numFmtId="171" fontId="16" fillId="0" borderId="29" xfId="0" applyNumberFormat="1" applyFont="1" applyFill="1" applyBorder="1" applyAlignment="1" applyProtection="1">
      <alignment horizontal="right" vertical="center"/>
    </xf>
    <xf numFmtId="38" fontId="16" fillId="0" borderId="29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1" fontId="12" fillId="9" borderId="36" xfId="4" applyNumberFormat="1" applyFont="1" applyFill="1" applyBorder="1" applyAlignment="1" applyProtection="1">
      <alignment horizontal="center" vertical="center"/>
    </xf>
    <xf numFmtId="1" fontId="12" fillId="9" borderId="50" xfId="4" applyNumberFormat="1" applyFont="1" applyFill="1" applyBorder="1" applyAlignment="1" applyProtection="1">
      <alignment horizontal="center" vertical="center"/>
    </xf>
    <xf numFmtId="1" fontId="16" fillId="9" borderId="37" xfId="4" applyNumberFormat="1" applyFont="1" applyFill="1" applyBorder="1" applyAlignment="1" applyProtection="1">
      <alignment horizontal="center" vertical="center"/>
    </xf>
    <xf numFmtId="1" fontId="19" fillId="9" borderId="14" xfId="4" applyNumberFormat="1" applyFont="1" applyFill="1" applyBorder="1" applyAlignment="1" applyProtection="1">
      <alignment horizontal="center" vertical="center"/>
    </xf>
    <xf numFmtId="1" fontId="36" fillId="9" borderId="14" xfId="4" applyNumberFormat="1" applyFont="1" applyFill="1" applyBorder="1" applyAlignment="1" applyProtection="1">
      <alignment horizontal="center" vertical="center"/>
    </xf>
    <xf numFmtId="1" fontId="20" fillId="9" borderId="14" xfId="4" quotePrefix="1" applyNumberFormat="1" applyFont="1" applyFill="1" applyBorder="1" applyAlignment="1" applyProtection="1">
      <alignment horizontal="center" vertical="center" wrapText="1"/>
    </xf>
    <xf numFmtId="1" fontId="19" fillId="9" borderId="138" xfId="4" applyNumberFormat="1" applyFont="1" applyFill="1" applyBorder="1" applyAlignment="1" applyProtection="1">
      <alignment horizontal="center" vertical="center"/>
    </xf>
    <xf numFmtId="1" fontId="19" fillId="9" borderId="165" xfId="4" applyNumberFormat="1" applyFont="1" applyFill="1" applyBorder="1" applyAlignment="1" applyProtection="1">
      <alignment horizontal="center" vertical="center"/>
    </xf>
    <xf numFmtId="1" fontId="19" fillId="9" borderId="166" xfId="4" applyNumberFormat="1" applyFont="1" applyFill="1" applyBorder="1" applyAlignment="1" applyProtection="1">
      <alignment horizontal="center" vertical="center"/>
    </xf>
    <xf numFmtId="1" fontId="20" fillId="9" borderId="134" xfId="4" quotePrefix="1" applyNumberFormat="1" applyFont="1" applyFill="1" applyBorder="1" applyAlignment="1" applyProtection="1">
      <alignment horizontal="center" vertical="center" wrapText="1"/>
    </xf>
    <xf numFmtId="0" fontId="12" fillId="0" borderId="145" xfId="4" applyFont="1" applyFill="1" applyBorder="1" applyAlignment="1" applyProtection="1">
      <alignment horizontal="center" vertical="center"/>
    </xf>
    <xf numFmtId="0" fontId="12" fillId="0" borderId="171" xfId="4" applyFont="1" applyFill="1" applyBorder="1" applyAlignment="1" applyProtection="1">
      <alignment horizontal="center" vertical="center"/>
    </xf>
    <xf numFmtId="0" fontId="12" fillId="0" borderId="147" xfId="4" applyFont="1" applyFill="1" applyBorder="1" applyAlignment="1" applyProtection="1">
      <alignment vertical="center"/>
    </xf>
    <xf numFmtId="38" fontId="12" fillId="26" borderId="155" xfId="11" applyNumberFormat="1" applyFont="1" applyFill="1" applyBorder="1" applyAlignment="1" applyProtection="1">
      <alignment horizontal="right" vertical="center"/>
    </xf>
    <xf numFmtId="6" fontId="12" fillId="26" borderId="147" xfId="11" applyNumberFormat="1" applyFont="1" applyFill="1" applyBorder="1" applyAlignment="1" applyProtection="1">
      <alignment horizontal="right" vertical="center"/>
    </xf>
    <xf numFmtId="38" fontId="12" fillId="0" borderId="146" xfId="11" applyNumberFormat="1" applyFont="1" applyFill="1" applyBorder="1" applyAlignment="1" applyProtection="1">
      <alignment horizontal="right" vertical="center"/>
    </xf>
    <xf numFmtId="166" fontId="12" fillId="0" borderId="146" xfId="11" applyNumberFormat="1" applyFont="1" applyFill="1" applyBorder="1" applyAlignment="1" applyProtection="1">
      <alignment horizontal="right" vertical="center"/>
    </xf>
    <xf numFmtId="6" fontId="12" fillId="8" borderId="147" xfId="11" applyNumberFormat="1" applyFont="1" applyFill="1" applyBorder="1" applyAlignment="1" applyProtection="1">
      <alignment horizontal="right" vertical="center"/>
    </xf>
    <xf numFmtId="6" fontId="12" fillId="0" borderId="155" xfId="4" applyNumberFormat="1" applyFont="1" applyFill="1" applyBorder="1" applyAlignment="1" applyProtection="1">
      <alignment horizontal="right" vertical="center"/>
    </xf>
    <xf numFmtId="6" fontId="12" fillId="12" borderId="146" xfId="4" applyNumberFormat="1" applyFont="1" applyFill="1" applyBorder="1" applyAlignment="1" applyProtection="1">
      <alignment horizontal="right" vertical="center"/>
    </xf>
    <xf numFmtId="38" fontId="12" fillId="26" borderId="146" xfId="11" applyNumberFormat="1" applyFont="1" applyFill="1" applyBorder="1" applyAlignment="1" applyProtection="1">
      <alignment horizontal="right" vertical="center"/>
    </xf>
    <xf numFmtId="6" fontId="12" fillId="0" borderId="146" xfId="4" applyNumberFormat="1" applyFont="1" applyFill="1" applyBorder="1" applyAlignment="1" applyProtection="1">
      <alignment horizontal="right" vertical="center"/>
    </xf>
    <xf numFmtId="6" fontId="12" fillId="5" borderId="146" xfId="4" applyNumberFormat="1" applyFont="1" applyFill="1" applyBorder="1" applyAlignment="1" applyProtection="1">
      <alignment horizontal="right" vertical="center"/>
    </xf>
    <xf numFmtId="6" fontId="12" fillId="26" borderId="146" xfId="4" applyNumberFormat="1" applyFont="1" applyFill="1" applyBorder="1" applyAlignment="1" applyProtection="1">
      <alignment horizontal="right" vertical="center"/>
    </xf>
    <xf numFmtId="0" fontId="12" fillId="0" borderId="55" xfId="4" applyFont="1" applyFill="1" applyBorder="1" applyAlignment="1" applyProtection="1">
      <alignment horizontal="center" vertical="center"/>
    </xf>
    <xf numFmtId="0" fontId="12" fillId="0" borderId="56" xfId="4" applyFont="1" applyFill="1" applyBorder="1" applyAlignment="1" applyProtection="1">
      <alignment horizontal="center" vertical="center"/>
    </xf>
    <xf numFmtId="0" fontId="12" fillId="0" borderId="57" xfId="4" applyFont="1" applyFill="1" applyBorder="1" applyAlignment="1" applyProtection="1">
      <alignment vertical="center"/>
    </xf>
    <xf numFmtId="38" fontId="12" fillId="26" borderId="172" xfId="11" applyNumberFormat="1" applyFont="1" applyFill="1" applyBorder="1" applyAlignment="1" applyProtection="1">
      <alignment horizontal="right" vertical="center"/>
    </xf>
    <xf numFmtId="6" fontId="12" fillId="0" borderId="57" xfId="11" applyNumberFormat="1" applyFont="1" applyFill="1" applyBorder="1" applyAlignment="1" applyProtection="1">
      <alignment horizontal="right" vertical="center"/>
    </xf>
    <xf numFmtId="6" fontId="12" fillId="26" borderId="57" xfId="11" applyNumberFormat="1" applyFont="1" applyFill="1" applyBorder="1" applyAlignment="1" applyProtection="1">
      <alignment horizontal="right" vertical="center"/>
    </xf>
    <xf numFmtId="166" fontId="12" fillId="0" borderId="15" xfId="11" applyNumberFormat="1" applyFont="1" applyFill="1" applyBorder="1" applyAlignment="1" applyProtection="1">
      <alignment horizontal="right" vertical="center"/>
    </xf>
    <xf numFmtId="6" fontId="12" fillId="0" borderId="172" xfId="4" applyNumberFormat="1" applyFont="1" applyFill="1" applyBorder="1" applyAlignment="1" applyProtection="1">
      <alignment horizontal="right" vertical="center"/>
    </xf>
    <xf numFmtId="6" fontId="12" fillId="12" borderId="15" xfId="4" applyNumberFormat="1" applyFont="1" applyFill="1" applyBorder="1" applyAlignment="1" applyProtection="1">
      <alignment horizontal="right" vertical="center"/>
    </xf>
    <xf numFmtId="6" fontId="12" fillId="0" borderId="15" xfId="4" applyNumberFormat="1" applyFont="1" applyFill="1" applyBorder="1" applyAlignment="1" applyProtection="1">
      <alignment horizontal="right" vertical="center"/>
    </xf>
    <xf numFmtId="6" fontId="12" fillId="5" borderId="15" xfId="4" applyNumberFormat="1" applyFont="1" applyFill="1" applyBorder="1" applyAlignment="1" applyProtection="1">
      <alignment horizontal="right" vertical="center"/>
    </xf>
    <xf numFmtId="0" fontId="12" fillId="0" borderId="83" xfId="4" applyFont="1" applyFill="1" applyBorder="1" applyAlignment="1" applyProtection="1">
      <alignment horizontal="center" vertical="center"/>
    </xf>
    <xf numFmtId="0" fontId="12" fillId="0" borderId="165" xfId="4" applyFont="1" applyFill="1" applyBorder="1" applyAlignment="1" applyProtection="1">
      <alignment horizontal="center" vertical="center"/>
    </xf>
    <xf numFmtId="0" fontId="12" fillId="0" borderId="173" xfId="4" applyFont="1" applyFill="1" applyBorder="1" applyAlignment="1" applyProtection="1">
      <alignment vertical="center"/>
    </xf>
    <xf numFmtId="38" fontId="12" fillId="26" borderId="174" xfId="11" applyNumberFormat="1" applyFont="1" applyFill="1" applyBorder="1" applyAlignment="1" applyProtection="1">
      <alignment horizontal="right" vertical="center"/>
    </xf>
    <xf numFmtId="6" fontId="12" fillId="0" borderId="173" xfId="11" applyNumberFormat="1" applyFont="1" applyFill="1" applyBorder="1" applyAlignment="1" applyProtection="1">
      <alignment horizontal="right" vertical="center"/>
    </xf>
    <xf numFmtId="6" fontId="12" fillId="26" borderId="173" xfId="11" applyNumberFormat="1" applyFont="1" applyFill="1" applyBorder="1" applyAlignment="1" applyProtection="1">
      <alignment horizontal="right" vertical="center"/>
    </xf>
    <xf numFmtId="166" fontId="12" fillId="0" borderId="84" xfId="11" applyNumberFormat="1" applyFont="1" applyFill="1" applyBorder="1" applyAlignment="1" applyProtection="1">
      <alignment horizontal="right" vertical="center"/>
    </xf>
    <xf numFmtId="6" fontId="12" fillId="0" borderId="174" xfId="4" applyNumberFormat="1" applyFont="1" applyFill="1" applyBorder="1" applyAlignment="1" applyProtection="1">
      <alignment horizontal="right" vertical="center"/>
    </xf>
    <xf numFmtId="6" fontId="12" fillId="12" borderId="84" xfId="4" applyNumberFormat="1" applyFont="1" applyFill="1" applyBorder="1" applyAlignment="1" applyProtection="1">
      <alignment horizontal="right" vertical="center"/>
    </xf>
    <xf numFmtId="6" fontId="12" fillId="0" borderId="84" xfId="4" applyNumberFormat="1" applyFont="1" applyFill="1" applyBorder="1" applyAlignment="1" applyProtection="1">
      <alignment horizontal="right" vertical="center"/>
    </xf>
    <xf numFmtId="6" fontId="12" fillId="5" borderId="84" xfId="4" applyNumberFormat="1" applyFont="1" applyFill="1" applyBorder="1" applyAlignment="1" applyProtection="1">
      <alignment horizontal="right" vertical="center"/>
    </xf>
    <xf numFmtId="0" fontId="12" fillId="0" borderId="155" xfId="4" applyFont="1" applyFill="1" applyBorder="1" applyAlignment="1" applyProtection="1">
      <alignment horizontal="center" vertical="center"/>
    </xf>
    <xf numFmtId="0" fontId="12" fillId="0" borderId="172" xfId="4" applyFont="1" applyFill="1" applyBorder="1" applyAlignment="1" applyProtection="1">
      <alignment horizontal="center" vertical="center"/>
    </xf>
    <xf numFmtId="0" fontId="12" fillId="0" borderId="174" xfId="4" applyFont="1" applyFill="1" applyBorder="1" applyAlignment="1" applyProtection="1">
      <alignment horizontal="center" vertical="center"/>
    </xf>
    <xf numFmtId="38" fontId="16" fillId="26" borderId="132" xfId="11" applyNumberFormat="1" applyFont="1" applyFill="1" applyBorder="1" applyAlignment="1" applyProtection="1">
      <alignment horizontal="right" vertical="center"/>
    </xf>
    <xf numFmtId="6" fontId="16" fillId="26" borderId="130" xfId="11" applyNumberFormat="1" applyFont="1" applyFill="1" applyBorder="1" applyAlignment="1" applyProtection="1">
      <alignment horizontal="right" vertical="center"/>
    </xf>
    <xf numFmtId="166" fontId="16" fillId="26" borderId="132" xfId="11" applyNumberFormat="1" applyFont="1" applyFill="1" applyBorder="1" applyAlignment="1" applyProtection="1">
      <alignment horizontal="right" vertical="center"/>
    </xf>
    <xf numFmtId="6" fontId="16" fillId="8" borderId="130" xfId="11" applyNumberFormat="1" applyFont="1" applyFill="1" applyBorder="1" applyAlignment="1" applyProtection="1">
      <alignment horizontal="right" vertical="center"/>
    </xf>
    <xf numFmtId="6" fontId="16" fillId="3" borderId="131" xfId="11" applyNumberFormat="1" applyFont="1" applyFill="1" applyBorder="1" applyAlignment="1" applyProtection="1">
      <alignment horizontal="right" vertical="center"/>
    </xf>
    <xf numFmtId="6" fontId="16" fillId="0" borderId="129" xfId="4" applyNumberFormat="1" applyFont="1" applyFill="1" applyBorder="1" applyAlignment="1" applyProtection="1">
      <alignment horizontal="right" vertical="center"/>
    </xf>
    <xf numFmtId="6" fontId="16" fillId="0" borderId="132" xfId="11" applyNumberFormat="1" applyFont="1" applyFill="1" applyBorder="1" applyAlignment="1" applyProtection="1">
      <alignment horizontal="right" vertical="center"/>
    </xf>
    <xf numFmtId="6" fontId="16" fillId="5" borderId="132" xfId="11" applyNumberFormat="1" applyFont="1" applyFill="1" applyBorder="1" applyAlignment="1" applyProtection="1">
      <alignment horizontal="right" vertical="center"/>
    </xf>
    <xf numFmtId="6" fontId="16" fillId="26" borderId="132" xfId="11" applyNumberFormat="1" applyFont="1" applyFill="1" applyBorder="1" applyAlignment="1" applyProtection="1">
      <alignment horizontal="right" vertical="center"/>
    </xf>
    <xf numFmtId="10" fontId="0" fillId="0" borderId="0" xfId="0" applyNumberFormat="1" applyAlignment="1" applyProtection="1">
      <alignment vertical="center"/>
    </xf>
    <xf numFmtId="0" fontId="13" fillId="8" borderId="144" xfId="0" applyFont="1" applyFill="1" applyBorder="1" applyAlignment="1" applyProtection="1">
      <alignment horizontal="center" vertical="center" wrapText="1"/>
    </xf>
    <xf numFmtId="0" fontId="13" fillId="12" borderId="144" xfId="0" applyFont="1" applyFill="1" applyBorder="1" applyAlignment="1" applyProtection="1">
      <alignment horizontal="center" vertical="center" wrapText="1"/>
    </xf>
    <xf numFmtId="2" fontId="10" fillId="6" borderId="134" xfId="0" applyNumberFormat="1" applyFont="1" applyFill="1" applyBorder="1" applyAlignment="1" applyProtection="1">
      <alignment horizontal="center" vertical="center" wrapText="1"/>
    </xf>
    <xf numFmtId="10" fontId="10" fillId="11" borderId="134" xfId="0" applyNumberFormat="1" applyFont="1" applyFill="1" applyBorder="1" applyAlignment="1" applyProtection="1">
      <alignment horizontal="center" vertical="center" wrapText="1"/>
    </xf>
    <xf numFmtId="164" fontId="12" fillId="9" borderId="134" xfId="1" applyNumberFormat="1" applyFont="1" applyFill="1" applyBorder="1" applyAlignment="1" applyProtection="1">
      <alignment horizontal="center" vertical="center"/>
    </xf>
    <xf numFmtId="1" fontId="17" fillId="9" borderId="134" xfId="1" quotePrefix="1" applyNumberFormat="1" applyFont="1" applyFill="1" applyBorder="1" applyAlignment="1" applyProtection="1">
      <alignment horizontal="center" vertical="center"/>
    </xf>
    <xf numFmtId="1" fontId="17" fillId="9" borderId="134" xfId="1" applyNumberFormat="1" applyFont="1" applyFill="1" applyBorder="1" applyAlignment="1" applyProtection="1">
      <alignment horizontal="center" vertical="center"/>
    </xf>
    <xf numFmtId="1" fontId="17" fillId="9" borderId="140" xfId="1" applyNumberFormat="1" applyFont="1" applyFill="1" applyBorder="1" applyAlignment="1" applyProtection="1">
      <alignment horizontal="center" vertical="center"/>
    </xf>
    <xf numFmtId="164" fontId="19" fillId="9" borderId="134" xfId="1" applyNumberFormat="1" applyFont="1" applyFill="1" applyBorder="1" applyAlignment="1" applyProtection="1">
      <alignment horizontal="center" vertical="center"/>
    </xf>
    <xf numFmtId="1" fontId="20" fillId="9" borderId="134" xfId="1" quotePrefix="1" applyNumberFormat="1" applyFont="1" applyFill="1" applyBorder="1" applyAlignment="1" applyProtection="1">
      <alignment horizontal="center" vertical="center"/>
    </xf>
    <xf numFmtId="1" fontId="20" fillId="9" borderId="134" xfId="1" applyNumberFormat="1" applyFont="1" applyFill="1" applyBorder="1" applyAlignment="1" applyProtection="1">
      <alignment horizontal="center" vertical="center"/>
    </xf>
    <xf numFmtId="3" fontId="12" fillId="0" borderId="148" xfId="0" applyNumberFormat="1" applyFont="1" applyBorder="1" applyAlignment="1" applyProtection="1">
      <alignment horizontal="center" vertical="center"/>
    </xf>
    <xf numFmtId="3" fontId="12" fillId="0" borderId="148" xfId="0" applyNumberFormat="1" applyFont="1" applyBorder="1" applyAlignment="1" applyProtection="1">
      <alignment vertical="center"/>
    </xf>
    <xf numFmtId="165" fontId="12" fillId="0" borderId="148" xfId="0" applyNumberFormat="1" applyFont="1" applyBorder="1" applyAlignment="1" applyProtection="1">
      <alignment vertical="center"/>
    </xf>
    <xf numFmtId="165" fontId="12" fillId="2" borderId="148" xfId="0" applyNumberFormat="1" applyFont="1" applyFill="1" applyBorder="1" applyAlignment="1" applyProtection="1">
      <alignment vertical="center"/>
    </xf>
    <xf numFmtId="3" fontId="12" fillId="0" borderId="17" xfId="0" applyNumberFormat="1" applyFont="1" applyBorder="1" applyAlignment="1" applyProtection="1">
      <alignment horizontal="center" vertical="center"/>
    </xf>
    <xf numFmtId="3" fontId="12" fillId="0" borderId="17" xfId="0" applyNumberFormat="1" applyFont="1" applyBorder="1" applyAlignment="1" applyProtection="1">
      <alignment vertical="center"/>
    </xf>
    <xf numFmtId="165" fontId="12" fillId="0" borderId="17" xfId="0" applyNumberFormat="1" applyFont="1" applyBorder="1" applyAlignment="1" applyProtection="1">
      <alignment vertical="center"/>
    </xf>
    <xf numFmtId="165" fontId="12" fillId="2" borderId="17" xfId="0" applyNumberFormat="1" applyFont="1" applyFill="1" applyBorder="1" applyAlignment="1" applyProtection="1">
      <alignment vertical="center"/>
    </xf>
    <xf numFmtId="3" fontId="12" fillId="0" borderId="14" xfId="0" applyNumberFormat="1" applyFont="1" applyBorder="1" applyAlignment="1" applyProtection="1">
      <alignment horizontal="center" vertical="center"/>
    </xf>
    <xf numFmtId="3" fontId="12" fillId="0" borderId="14" xfId="0" applyNumberFormat="1" applyFont="1" applyBorder="1" applyAlignment="1" applyProtection="1">
      <alignment vertical="center"/>
    </xf>
    <xf numFmtId="165" fontId="12" fillId="0" borderId="14" xfId="0" applyNumberFormat="1" applyFont="1" applyBorder="1" applyAlignment="1" applyProtection="1">
      <alignment vertical="center"/>
    </xf>
    <xf numFmtId="165" fontId="12" fillId="2" borderId="14" xfId="0" applyNumberFormat="1" applyFont="1" applyFill="1" applyBorder="1" applyAlignment="1" applyProtection="1">
      <alignment vertical="center"/>
    </xf>
    <xf numFmtId="0" fontId="12" fillId="0" borderId="29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vertical="center"/>
    </xf>
    <xf numFmtId="6" fontId="16" fillId="2" borderId="29" xfId="0" applyNumberFormat="1" applyFont="1" applyFill="1" applyBorder="1" applyAlignment="1" applyProtection="1">
      <alignment vertical="center"/>
    </xf>
    <xf numFmtId="0" fontId="44" fillId="0" borderId="0" xfId="0" applyFont="1" applyBorder="1" applyAlignment="1" applyProtection="1">
      <alignment horizontal="center" vertical="center"/>
    </xf>
    <xf numFmtId="10" fontId="22" fillId="0" borderId="0" xfId="0" applyNumberFormat="1" applyFont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13" fillId="10" borderId="144" xfId="0" applyFont="1" applyFill="1" applyBorder="1" applyAlignment="1" applyProtection="1">
      <alignment horizontal="center" vertical="center" wrapText="1"/>
    </xf>
    <xf numFmtId="0" fontId="10" fillId="10" borderId="144" xfId="0" applyFont="1" applyFill="1" applyBorder="1" applyAlignment="1" applyProtection="1">
      <alignment horizontal="center" vertical="center" wrapText="1"/>
    </xf>
    <xf numFmtId="9" fontId="17" fillId="13" borderId="134" xfId="0" applyNumberFormat="1" applyFont="1" applyFill="1" applyBorder="1" applyAlignment="1" applyProtection="1">
      <alignment horizontal="center" vertical="center" wrapText="1"/>
    </xf>
    <xf numFmtId="0" fontId="17" fillId="9" borderId="134" xfId="1" quotePrefix="1" applyNumberFormat="1" applyFont="1" applyFill="1" applyBorder="1" applyAlignment="1" applyProtection="1">
      <alignment horizontal="center" vertical="center"/>
    </xf>
    <xf numFmtId="164" fontId="19" fillId="9" borderId="134" xfId="1" applyNumberFormat="1" applyFont="1" applyFill="1" applyBorder="1" applyAlignment="1" applyProtection="1">
      <alignment horizontal="center" vertical="center" wrapText="1"/>
    </xf>
    <xf numFmtId="0" fontId="20" fillId="9" borderId="134" xfId="1" quotePrefix="1" applyNumberFormat="1" applyFont="1" applyFill="1" applyBorder="1" applyAlignment="1" applyProtection="1">
      <alignment horizontal="center" vertical="center" wrapText="1"/>
    </xf>
    <xf numFmtId="1" fontId="20" fillId="9" borderId="134" xfId="1" quotePrefix="1" applyNumberFormat="1" applyFont="1" applyFill="1" applyBorder="1" applyAlignment="1" applyProtection="1">
      <alignment horizontal="center" vertical="center" wrapText="1"/>
    </xf>
    <xf numFmtId="1" fontId="20" fillId="9" borderId="134" xfId="1" applyNumberFormat="1" applyFont="1" applyFill="1" applyBorder="1" applyAlignment="1" applyProtection="1">
      <alignment horizontal="center" vertical="center" wrapText="1"/>
    </xf>
    <xf numFmtId="3" fontId="12" fillId="0" borderId="175" xfId="0" applyNumberFormat="1" applyFont="1" applyBorder="1" applyAlignment="1" applyProtection="1">
      <alignment vertical="center"/>
    </xf>
    <xf numFmtId="10" fontId="12" fillId="0" borderId="17" xfId="3" applyNumberFormat="1" applyFont="1" applyFill="1" applyBorder="1" applyAlignment="1" applyProtection="1">
      <alignment vertical="center"/>
    </xf>
    <xf numFmtId="6" fontId="12" fillId="0" borderId="17" xfId="2" applyNumberFormat="1" applyFont="1" applyFill="1" applyBorder="1" applyAlignment="1" applyProtection="1">
      <alignment vertical="center"/>
    </xf>
    <xf numFmtId="2" fontId="28" fillId="0" borderId="17" xfId="7" applyNumberFormat="1" applyFont="1" applyFill="1" applyBorder="1" applyAlignment="1" applyProtection="1">
      <alignment horizontal="right" vertical="center" wrapText="1"/>
    </xf>
    <xf numFmtId="165" fontId="28" fillId="0" borderId="17" xfId="7" applyNumberFormat="1" applyFont="1" applyFill="1" applyBorder="1" applyAlignment="1" applyProtection="1">
      <alignment horizontal="right" vertical="center" wrapText="1"/>
    </xf>
    <xf numFmtId="0" fontId="28" fillId="0" borderId="17" xfId="7" applyFont="1" applyFill="1" applyBorder="1" applyAlignment="1" applyProtection="1">
      <alignment horizontal="right" vertical="center" wrapText="1"/>
    </xf>
    <xf numFmtId="1" fontId="28" fillId="0" borderId="17" xfId="7" applyNumberFormat="1" applyFont="1" applyFill="1" applyBorder="1" applyAlignment="1" applyProtection="1">
      <alignment horizontal="right" vertical="center" wrapText="1"/>
    </xf>
    <xf numFmtId="2" fontId="12" fillId="0" borderId="17" xfId="0" applyNumberFormat="1" applyFont="1" applyBorder="1" applyAlignment="1" applyProtection="1">
      <alignment vertical="center"/>
    </xf>
    <xf numFmtId="4" fontId="12" fillId="0" borderId="17" xfId="1" applyNumberFormat="1" applyFont="1" applyBorder="1" applyAlignment="1" applyProtection="1">
      <alignment vertical="center"/>
    </xf>
    <xf numFmtId="4" fontId="12" fillId="0" borderId="175" xfId="1" applyNumberFormat="1" applyFont="1" applyBorder="1" applyAlignment="1" applyProtection="1">
      <alignment vertical="center"/>
    </xf>
    <xf numFmtId="40" fontId="12" fillId="0" borderId="17" xfId="0" applyNumberFormat="1" applyFont="1" applyFill="1" applyBorder="1" applyAlignment="1" applyProtection="1">
      <alignment vertical="center"/>
    </xf>
    <xf numFmtId="165" fontId="12" fillId="0" borderId="17" xfId="0" applyNumberFormat="1" applyFont="1" applyFill="1" applyBorder="1" applyAlignment="1" applyProtection="1">
      <alignment vertical="center"/>
    </xf>
    <xf numFmtId="10" fontId="12" fillId="0" borderId="17" xfId="0" applyNumberFormat="1" applyFont="1" applyFill="1" applyBorder="1" applyAlignment="1" applyProtection="1">
      <alignment vertical="center"/>
    </xf>
    <xf numFmtId="172" fontId="12" fillId="0" borderId="17" xfId="3" applyNumberFormat="1" applyFont="1" applyFill="1" applyBorder="1" applyAlignment="1" applyProtection="1">
      <alignment vertical="center"/>
    </xf>
    <xf numFmtId="10" fontId="12" fillId="26" borderId="17" xfId="0" applyNumberFormat="1" applyFont="1" applyFill="1" applyBorder="1" applyAlignment="1" applyProtection="1">
      <alignment vertical="center"/>
    </xf>
    <xf numFmtId="3" fontId="12" fillId="0" borderId="138" xfId="0" applyNumberFormat="1" applyFont="1" applyBorder="1" applyAlignment="1" applyProtection="1">
      <alignment vertical="center"/>
    </xf>
    <xf numFmtId="10" fontId="12" fillId="0" borderId="14" xfId="3" applyNumberFormat="1" applyFont="1" applyFill="1" applyBorder="1" applyAlignment="1" applyProtection="1">
      <alignment vertical="center"/>
    </xf>
    <xf numFmtId="6" fontId="12" fillId="0" borderId="14" xfId="2" applyNumberFormat="1" applyFont="1" applyFill="1" applyBorder="1" applyAlignment="1" applyProtection="1">
      <alignment vertical="center"/>
    </xf>
    <xf numFmtId="2" fontId="28" fillId="0" borderId="14" xfId="7" applyNumberFormat="1" applyFont="1" applyFill="1" applyBorder="1" applyAlignment="1" applyProtection="1">
      <alignment horizontal="right" vertical="center" wrapText="1"/>
    </xf>
    <xf numFmtId="165" fontId="28" fillId="0" borderId="14" xfId="7" applyNumberFormat="1" applyFont="1" applyFill="1" applyBorder="1" applyAlignment="1" applyProtection="1">
      <alignment horizontal="right" vertical="center" wrapText="1"/>
    </xf>
    <xf numFmtId="0" fontId="28" fillId="0" borderId="14" xfId="7" applyFont="1" applyFill="1" applyBorder="1" applyAlignment="1" applyProtection="1">
      <alignment horizontal="right" vertical="center" wrapText="1"/>
    </xf>
    <xf numFmtId="2" fontId="12" fillId="0" borderId="14" xfId="0" applyNumberFormat="1" applyFont="1" applyBorder="1" applyAlignment="1" applyProtection="1">
      <alignment vertical="center"/>
    </xf>
    <xf numFmtId="4" fontId="12" fillId="0" borderId="14" xfId="1" applyNumberFormat="1" applyFont="1" applyBorder="1" applyAlignment="1" applyProtection="1">
      <alignment vertical="center"/>
    </xf>
    <xf numFmtId="4" fontId="12" fillId="0" borderId="138" xfId="1" applyNumberFormat="1" applyFont="1" applyBorder="1" applyAlignment="1" applyProtection="1">
      <alignment vertical="center"/>
    </xf>
    <xf numFmtId="40" fontId="12" fillId="0" borderId="14" xfId="0" applyNumberFormat="1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vertical="center"/>
    </xf>
    <xf numFmtId="10" fontId="12" fillId="0" borderId="14" xfId="0" applyNumberFormat="1" applyFont="1" applyFill="1" applyBorder="1" applyAlignment="1" applyProtection="1">
      <alignment vertical="center"/>
    </xf>
    <xf numFmtId="6" fontId="12" fillId="0" borderId="14" xfId="0" applyNumberFormat="1" applyFont="1" applyFill="1" applyBorder="1" applyAlignment="1" applyProtection="1">
      <alignment vertical="center"/>
    </xf>
    <xf numFmtId="172" fontId="12" fillId="0" borderId="14" xfId="3" applyNumberFormat="1" applyFont="1" applyFill="1" applyBorder="1" applyAlignment="1" applyProtection="1">
      <alignment vertical="center"/>
    </xf>
    <xf numFmtId="165" fontId="12" fillId="26" borderId="17" xfId="0" applyNumberFormat="1" applyFont="1" applyFill="1" applyBorder="1" applyAlignment="1" applyProtection="1">
      <alignment vertical="center"/>
    </xf>
    <xf numFmtId="3" fontId="12" fillId="0" borderId="175" xfId="0" applyNumberFormat="1" applyFont="1" applyFill="1" applyBorder="1" applyAlignment="1" applyProtection="1">
      <alignment vertical="center"/>
    </xf>
    <xf numFmtId="3" fontId="12" fillId="0" borderId="138" xfId="0" applyNumberFormat="1" applyFont="1" applyFill="1" applyBorder="1" applyAlignment="1" applyProtection="1">
      <alignment vertical="center"/>
    </xf>
    <xf numFmtId="3" fontId="12" fillId="0" borderId="28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Fill="1" applyBorder="1" applyAlignment="1" applyProtection="1">
      <alignment vertical="center"/>
    </xf>
    <xf numFmtId="165" fontId="12" fillId="0" borderId="28" xfId="0" applyNumberFormat="1" applyFont="1" applyFill="1" applyBorder="1" applyAlignment="1" applyProtection="1">
      <alignment vertical="center"/>
    </xf>
    <xf numFmtId="165" fontId="12" fillId="0" borderId="24" xfId="0" applyNumberFormat="1" applyFont="1" applyFill="1" applyBorder="1" applyAlignment="1" applyProtection="1">
      <alignment vertical="center"/>
    </xf>
    <xf numFmtId="10" fontId="12" fillId="0" borderId="24" xfId="3" applyNumberFormat="1" applyFont="1" applyFill="1" applyBorder="1" applyAlignment="1" applyProtection="1">
      <alignment vertical="center"/>
    </xf>
    <xf numFmtId="6" fontId="12" fillId="0" borderId="28" xfId="2" applyNumberFormat="1" applyFont="1" applyFill="1" applyBorder="1" applyAlignment="1" applyProtection="1">
      <alignment vertical="center"/>
    </xf>
    <xf numFmtId="2" fontId="12" fillId="0" borderId="28" xfId="0" applyNumberFormat="1" applyFont="1" applyFill="1" applyBorder="1" applyAlignment="1" applyProtection="1">
      <alignment vertical="center"/>
    </xf>
    <xf numFmtId="1" fontId="12" fillId="0" borderId="28" xfId="0" applyNumberFormat="1" applyFont="1" applyFill="1" applyBorder="1" applyAlignment="1" applyProtection="1">
      <alignment vertical="center"/>
    </xf>
    <xf numFmtId="3" fontId="12" fillId="0" borderId="28" xfId="0" applyNumberFormat="1" applyFont="1" applyFill="1" applyBorder="1" applyAlignment="1" applyProtection="1">
      <alignment vertical="center"/>
    </xf>
    <xf numFmtId="165" fontId="12" fillId="29" borderId="28" xfId="0" applyNumberFormat="1" applyFont="1" applyFill="1" applyBorder="1" applyAlignment="1" applyProtection="1">
      <alignment vertical="center"/>
    </xf>
    <xf numFmtId="4" fontId="12" fillId="29" borderId="28" xfId="1" applyNumberFormat="1" applyFont="1" applyFill="1" applyBorder="1" applyAlignment="1" applyProtection="1">
      <alignment vertical="center"/>
    </xf>
    <xf numFmtId="4" fontId="12" fillId="29" borderId="24" xfId="1" applyNumberFormat="1" applyFont="1" applyFill="1" applyBorder="1" applyAlignment="1" applyProtection="1">
      <alignment vertical="center"/>
    </xf>
    <xf numFmtId="40" fontId="12" fillId="29" borderId="28" xfId="0" applyNumberFormat="1" applyFont="1" applyFill="1" applyBorder="1" applyAlignment="1" applyProtection="1">
      <alignment vertical="center"/>
    </xf>
    <xf numFmtId="10" fontId="12" fillId="0" borderId="28" xfId="0" applyNumberFormat="1" applyFont="1" applyFill="1" applyBorder="1" applyAlignment="1" applyProtection="1">
      <alignment vertical="center"/>
    </xf>
    <xf numFmtId="172" fontId="12" fillId="0" borderId="28" xfId="3" applyNumberFormat="1" applyFont="1" applyFill="1" applyBorder="1" applyAlignment="1" applyProtection="1">
      <alignment vertical="center"/>
    </xf>
    <xf numFmtId="10" fontId="12" fillId="0" borderId="28" xfId="3" applyNumberFormat="1" applyFont="1" applyFill="1" applyBorder="1" applyAlignment="1" applyProtection="1">
      <alignment vertical="center"/>
    </xf>
    <xf numFmtId="0" fontId="12" fillId="0" borderId="29" xfId="0" applyFont="1" applyBorder="1" applyAlignment="1" applyProtection="1">
      <alignment horizontal="right" vertical="center"/>
    </xf>
    <xf numFmtId="0" fontId="16" fillId="0" borderId="29" xfId="0" applyFont="1" applyBorder="1" applyAlignment="1" applyProtection="1">
      <alignment horizontal="left" vertical="center"/>
    </xf>
    <xf numFmtId="5" fontId="16" fillId="0" borderId="29" xfId="2" applyNumberFormat="1" applyFont="1" applyBorder="1" applyAlignment="1" applyProtection="1">
      <alignment horizontal="right" vertical="center"/>
    </xf>
    <xf numFmtId="10" fontId="16" fillId="26" borderId="29" xfId="3" applyNumberFormat="1" applyFont="1" applyFill="1" applyBorder="1" applyAlignment="1" applyProtection="1">
      <alignment horizontal="right" vertical="center"/>
    </xf>
    <xf numFmtId="6" fontId="16" fillId="26" borderId="29" xfId="2" applyNumberFormat="1" applyFont="1" applyFill="1" applyBorder="1" applyAlignment="1" applyProtection="1">
      <alignment horizontal="right" vertical="center"/>
    </xf>
    <xf numFmtId="2" fontId="16" fillId="0" borderId="29" xfId="0" applyNumberFormat="1" applyFont="1" applyFill="1" applyBorder="1" applyAlignment="1" applyProtection="1">
      <alignment horizontal="right" vertical="center"/>
    </xf>
    <xf numFmtId="5" fontId="16" fillId="0" borderId="29" xfId="2" applyNumberFormat="1" applyFont="1" applyFill="1" applyBorder="1" applyAlignment="1" applyProtection="1">
      <alignment horizontal="right" vertical="center"/>
    </xf>
    <xf numFmtId="0" fontId="16" fillId="0" borderId="29" xfId="0" applyFont="1" applyFill="1" applyBorder="1" applyAlignment="1" applyProtection="1">
      <alignment horizontal="right" vertical="center"/>
    </xf>
    <xf numFmtId="0" fontId="16" fillId="0" borderId="29" xfId="0" applyFont="1" applyBorder="1" applyAlignment="1" applyProtection="1">
      <alignment horizontal="right" vertical="center"/>
    </xf>
    <xf numFmtId="43" fontId="16" fillId="0" borderId="29" xfId="1" applyNumberFormat="1" applyFont="1" applyBorder="1" applyAlignment="1" applyProtection="1">
      <alignment horizontal="right" vertical="center"/>
    </xf>
    <xf numFmtId="43" fontId="16" fillId="0" borderId="29" xfId="1" applyFont="1" applyBorder="1" applyAlignment="1" applyProtection="1">
      <alignment horizontal="right" vertical="center"/>
    </xf>
    <xf numFmtId="10" fontId="16" fillId="0" borderId="29" xfId="2" applyNumberFormat="1" applyFont="1" applyFill="1" applyBorder="1" applyAlignment="1" applyProtection="1">
      <alignment horizontal="right" vertical="center"/>
    </xf>
    <xf numFmtId="6" fontId="16" fillId="0" borderId="29" xfId="2" applyNumberFormat="1" applyFont="1" applyBorder="1" applyAlignment="1" applyProtection="1">
      <alignment horizontal="right" vertical="center"/>
    </xf>
    <xf numFmtId="10" fontId="16" fillId="0" borderId="29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0" fontId="32" fillId="0" borderId="0" xfId="0" applyFont="1" applyFill="1" applyAlignment="1">
      <alignment vertical="center"/>
    </xf>
    <xf numFmtId="0" fontId="10" fillId="33" borderId="134" xfId="13" applyFont="1" applyFill="1" applyBorder="1" applyAlignment="1" applyProtection="1">
      <alignment horizontal="center" vertical="center" wrapText="1"/>
    </xf>
    <xf numFmtId="0" fontId="22" fillId="33" borderId="134" xfId="13" applyFont="1" applyFill="1" applyBorder="1" applyAlignment="1" applyProtection="1">
      <alignment horizontal="center" vertical="center" wrapText="1"/>
    </xf>
    <xf numFmtId="0" fontId="10" fillId="34" borderId="134" xfId="13" applyFont="1" applyFill="1" applyBorder="1" applyAlignment="1" applyProtection="1">
      <alignment horizontal="center" vertical="center" wrapText="1"/>
    </xf>
    <xf numFmtId="0" fontId="10" fillId="35" borderId="134" xfId="13" applyFont="1" applyFill="1" applyBorder="1" applyAlignment="1" applyProtection="1">
      <alignment horizontal="center" vertical="center" wrapText="1"/>
    </xf>
    <xf numFmtId="0" fontId="10" fillId="5" borderId="134" xfId="13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0" fillId="30" borderId="134" xfId="13" applyFont="1" applyFill="1" applyBorder="1" applyAlignment="1" applyProtection="1">
      <alignment horizontal="center" vertical="center" wrapText="1"/>
    </xf>
    <xf numFmtId="0" fontId="10" fillId="31" borderId="134" xfId="13" applyFont="1" applyFill="1" applyBorder="1" applyAlignment="1" applyProtection="1">
      <alignment horizontal="center" vertical="center" wrapText="1"/>
    </xf>
    <xf numFmtId="0" fontId="10" fillId="32" borderId="134" xfId="13" applyFont="1" applyFill="1" applyBorder="1" applyAlignment="1" applyProtection="1">
      <alignment horizontal="center" vertical="center" wrapText="1"/>
    </xf>
    <xf numFmtId="0" fontId="10" fillId="7" borderId="134" xfId="13" applyFont="1" applyFill="1" applyBorder="1" applyAlignment="1" applyProtection="1">
      <alignment horizontal="center" vertical="center" wrapText="1"/>
    </xf>
    <xf numFmtId="0" fontId="18" fillId="9" borderId="144" xfId="1" quotePrefix="1" applyNumberFormat="1" applyFont="1" applyFill="1" applyBorder="1" applyAlignment="1" applyProtection="1">
      <alignment horizontal="center" vertical="center"/>
    </xf>
    <xf numFmtId="0" fontId="18" fillId="9" borderId="134" xfId="1" quotePrefix="1" applyNumberFormat="1" applyFont="1" applyFill="1" applyBorder="1" applyAlignment="1" applyProtection="1">
      <alignment horizontal="center" vertical="center"/>
    </xf>
    <xf numFmtId="1" fontId="18" fillId="9" borderId="134" xfId="1" quotePrefix="1" applyNumberFormat="1" applyFont="1" applyFill="1" applyBorder="1" applyAlignment="1" applyProtection="1">
      <alignment horizontal="center" vertical="center" wrapText="1"/>
    </xf>
    <xf numFmtId="0" fontId="28" fillId="0" borderId="148" xfId="14" applyNumberFormat="1" applyFont="1" applyBorder="1" applyAlignment="1" applyProtection="1">
      <alignment horizontal="center" vertical="center"/>
    </xf>
    <xf numFmtId="0" fontId="28" fillId="0" borderId="148" xfId="14" applyFont="1" applyBorder="1" applyAlignment="1" applyProtection="1">
      <alignment horizontal="left" vertical="center"/>
    </xf>
    <xf numFmtId="38" fontId="28" fillId="0" borderId="148" xfId="14" applyNumberFormat="1" applyFont="1" applyBorder="1" applyAlignment="1" applyProtection="1">
      <alignment vertical="center"/>
    </xf>
    <xf numFmtId="38" fontId="28" fillId="22" borderId="148" xfId="14" applyNumberFormat="1" applyFont="1" applyFill="1" applyBorder="1" applyAlignment="1" applyProtection="1">
      <alignment vertical="center"/>
    </xf>
    <xf numFmtId="0" fontId="32" fillId="0" borderId="0" xfId="0" applyFont="1" applyAlignment="1">
      <alignment vertical="center"/>
    </xf>
    <xf numFmtId="0" fontId="28" fillId="0" borderId="17" xfId="14" applyNumberFormat="1" applyFont="1" applyBorder="1" applyAlignment="1" applyProtection="1">
      <alignment horizontal="center" vertical="center"/>
    </xf>
    <xf numFmtId="0" fontId="28" fillId="0" borderId="17" xfId="14" applyFont="1" applyBorder="1" applyAlignment="1" applyProtection="1">
      <alignment horizontal="left" vertical="center"/>
    </xf>
    <xf numFmtId="38" fontId="28" fillId="0" borderId="17" xfId="14" applyNumberFormat="1" applyFont="1" applyBorder="1" applyAlignment="1" applyProtection="1">
      <alignment vertical="center"/>
    </xf>
    <xf numFmtId="38" fontId="28" fillId="22" borderId="17" xfId="14" applyNumberFormat="1" applyFont="1" applyFill="1" applyBorder="1" applyAlignment="1" applyProtection="1">
      <alignment vertical="center"/>
    </xf>
    <xf numFmtId="0" fontId="28" fillId="0" borderId="14" xfId="14" applyNumberFormat="1" applyFont="1" applyBorder="1" applyAlignment="1" applyProtection="1">
      <alignment horizontal="center" vertical="center"/>
    </xf>
    <xf numFmtId="0" fontId="28" fillId="0" borderId="14" xfId="14" applyFont="1" applyBorder="1" applyAlignment="1" applyProtection="1">
      <alignment horizontal="left" vertical="center"/>
    </xf>
    <xf numFmtId="38" fontId="28" fillId="0" borderId="14" xfId="14" applyNumberFormat="1" applyFont="1" applyBorder="1" applyAlignment="1" applyProtection="1">
      <alignment vertical="center"/>
    </xf>
    <xf numFmtId="38" fontId="28" fillId="22" borderId="14" xfId="14" applyNumberFormat="1" applyFont="1" applyFill="1" applyBorder="1" applyAlignment="1" applyProtection="1">
      <alignment vertical="center"/>
    </xf>
    <xf numFmtId="0" fontId="33" fillId="0" borderId="29" xfId="15" applyNumberFormat="1" applyFont="1" applyBorder="1" applyAlignment="1" applyProtection="1">
      <alignment horizontal="center" vertical="center"/>
    </xf>
    <xf numFmtId="3" fontId="33" fillId="0" borderId="29" xfId="15" applyNumberFormat="1" applyFont="1" applyBorder="1" applyAlignment="1" applyProtection="1">
      <alignment vertical="center"/>
    </xf>
    <xf numFmtId="38" fontId="33" fillId="0" borderId="29" xfId="15" applyNumberFormat="1" applyFont="1" applyBorder="1" applyAlignment="1" applyProtection="1">
      <alignment vertical="center"/>
    </xf>
    <xf numFmtId="38" fontId="33" fillId="22" borderId="29" xfId="15" applyNumberFormat="1" applyFont="1" applyFill="1" applyBorder="1" applyAlignment="1" applyProtection="1">
      <alignment vertical="center"/>
    </xf>
    <xf numFmtId="0" fontId="49" fillId="0" borderId="0" xfId="0" applyFont="1" applyAlignment="1">
      <alignment vertical="center"/>
    </xf>
    <xf numFmtId="0" fontId="33" fillId="0" borderId="0" xfId="15" applyNumberFormat="1" applyFont="1" applyBorder="1" applyAlignment="1" applyProtection="1">
      <alignment horizontal="center" vertical="center"/>
    </xf>
    <xf numFmtId="3" fontId="33" fillId="0" borderId="0" xfId="15" applyNumberFormat="1" applyFont="1" applyBorder="1" applyAlignment="1" applyProtection="1">
      <alignment vertical="center"/>
    </xf>
    <xf numFmtId="38" fontId="32" fillId="0" borderId="0" xfId="15" applyNumberFormat="1" applyFont="1" applyBorder="1" applyAlignment="1" applyProtection="1">
      <alignment vertical="center"/>
    </xf>
    <xf numFmtId="38" fontId="33" fillId="0" borderId="0" xfId="15" applyNumberFormat="1" applyFont="1" applyBorder="1" applyAlignment="1" applyProtection="1">
      <alignment vertical="center"/>
    </xf>
    <xf numFmtId="0" fontId="32" fillId="0" borderId="0" xfId="15" applyFont="1" applyProtection="1"/>
    <xf numFmtId="0" fontId="10" fillId="14" borderId="134" xfId="14" applyFont="1" applyFill="1" applyBorder="1" applyAlignment="1">
      <alignment horizontal="center" vertical="center" wrapText="1"/>
    </xf>
    <xf numFmtId="0" fontId="10" fillId="14" borderId="134" xfId="16" applyFont="1" applyFill="1" applyBorder="1" applyAlignment="1">
      <alignment horizontal="center" vertical="center"/>
    </xf>
    <xf numFmtId="0" fontId="50" fillId="0" borderId="0" xfId="16" applyFont="1" applyAlignment="1">
      <alignment horizontal="center" vertical="center"/>
    </xf>
    <xf numFmtId="0" fontId="17" fillId="9" borderId="28" xfId="1" quotePrefix="1" applyNumberFormat="1" applyFont="1" applyFill="1" applyBorder="1" applyAlignment="1" applyProtection="1">
      <alignment horizontal="center" vertical="center"/>
    </xf>
    <xf numFmtId="0" fontId="28" fillId="0" borderId="17" xfId="14" applyFont="1" applyBorder="1" applyAlignment="1" applyProtection="1">
      <alignment horizontal="center" vertical="center"/>
    </xf>
    <xf numFmtId="38" fontId="28" fillId="0" borderId="17" xfId="14" applyNumberFormat="1" applyFont="1" applyFill="1" applyBorder="1" applyAlignment="1" applyProtection="1">
      <alignment vertical="center"/>
    </xf>
    <xf numFmtId="38" fontId="28" fillId="28" borderId="17" xfId="14" applyNumberFormat="1" applyFont="1" applyFill="1" applyBorder="1" applyAlignment="1" applyProtection="1">
      <alignment vertical="center"/>
    </xf>
    <xf numFmtId="38" fontId="51" fillId="0" borderId="17" xfId="14" applyNumberFormat="1" applyFont="1" applyBorder="1" applyAlignment="1" applyProtection="1">
      <alignment vertical="center"/>
    </xf>
    <xf numFmtId="0" fontId="50" fillId="0" borderId="0" xfId="16" applyFont="1"/>
    <xf numFmtId="0" fontId="28" fillId="0" borderId="14" xfId="14" applyFont="1" applyBorder="1" applyAlignment="1" applyProtection="1">
      <alignment horizontal="center" vertical="center"/>
    </xf>
    <xf numFmtId="38" fontId="28" fillId="28" borderId="14" xfId="14" applyNumberFormat="1" applyFont="1" applyFill="1" applyBorder="1" applyAlignment="1" applyProtection="1">
      <alignment vertical="center"/>
    </xf>
    <xf numFmtId="38" fontId="51" fillId="0" borderId="14" xfId="14" applyNumberFormat="1" applyFont="1" applyBorder="1" applyAlignment="1" applyProtection="1">
      <alignment vertical="center"/>
    </xf>
    <xf numFmtId="0" fontId="28" fillId="0" borderId="29" xfId="14" applyFont="1" applyBorder="1" applyAlignment="1" applyProtection="1">
      <alignment horizontal="center" vertical="center"/>
    </xf>
    <xf numFmtId="0" fontId="28" fillId="0" borderId="29" xfId="14" applyFont="1" applyBorder="1" applyAlignment="1" applyProtection="1">
      <alignment horizontal="left" vertical="center"/>
    </xf>
    <xf numFmtId="38" fontId="51" fillId="0" borderId="29" xfId="14" applyNumberFormat="1" applyFont="1" applyBorder="1" applyAlignment="1" applyProtection="1">
      <alignment vertical="center"/>
    </xf>
    <xf numFmtId="0" fontId="50" fillId="0" borderId="0" xfId="16" applyFont="1" applyAlignment="1">
      <alignment horizontal="center"/>
    </xf>
    <xf numFmtId="0" fontId="52" fillId="0" borderId="0" xfId="16" applyFont="1"/>
    <xf numFmtId="3" fontId="33" fillId="0" borderId="0" xfId="15" applyNumberFormat="1" applyFont="1" applyBorder="1" applyAlignment="1" applyProtection="1">
      <alignment horizontal="center" vertical="center"/>
    </xf>
    <xf numFmtId="0" fontId="10" fillId="22" borderId="134" xfId="8" applyFont="1" applyFill="1" applyBorder="1" applyAlignment="1">
      <alignment horizontal="center" vertical="center" wrapText="1"/>
    </xf>
    <xf numFmtId="0" fontId="10" fillId="3" borderId="134" xfId="8" applyFont="1" applyFill="1" applyBorder="1" applyAlignment="1">
      <alignment horizontal="center" vertical="center" wrapText="1"/>
    </xf>
    <xf numFmtId="0" fontId="10" fillId="6" borderId="134" xfId="8" applyFont="1" applyFill="1" applyBorder="1" applyAlignment="1">
      <alignment horizontal="center" vertical="center" wrapText="1"/>
    </xf>
    <xf numFmtId="0" fontId="10" fillId="12" borderId="134" xfId="8" applyFont="1" applyFill="1" applyBorder="1" applyAlignment="1">
      <alignment horizontal="center" vertical="center" wrapText="1"/>
    </xf>
    <xf numFmtId="0" fontId="16" fillId="9" borderId="134" xfId="17" applyFont="1" applyFill="1" applyBorder="1" applyAlignment="1">
      <alignment vertical="center"/>
    </xf>
    <xf numFmtId="1" fontId="47" fillId="9" borderId="134" xfId="18" quotePrefix="1" applyNumberFormat="1" applyFont="1" applyFill="1" applyBorder="1" applyAlignment="1" applyProtection="1">
      <alignment horizontal="center" vertical="center"/>
    </xf>
    <xf numFmtId="0" fontId="47" fillId="9" borderId="134" xfId="17" applyFont="1" applyFill="1" applyBorder="1" applyAlignment="1">
      <alignment horizontal="center" vertical="center"/>
    </xf>
    <xf numFmtId="0" fontId="12" fillId="9" borderId="24" xfId="17" applyFont="1" applyFill="1" applyBorder="1" applyAlignment="1">
      <alignment vertical="center"/>
    </xf>
    <xf numFmtId="0" fontId="12" fillId="9" borderId="39" xfId="17" applyFont="1" applyFill="1" applyBorder="1" applyAlignment="1">
      <alignment vertical="center"/>
    </xf>
    <xf numFmtId="1" fontId="18" fillId="9" borderId="14" xfId="8" quotePrefix="1" applyNumberFormat="1" applyFont="1" applyFill="1" applyBorder="1" applyAlignment="1" applyProtection="1">
      <alignment horizontal="center" vertical="center" wrapText="1"/>
    </xf>
    <xf numFmtId="0" fontId="19" fillId="9" borderId="24" xfId="17" applyFont="1" applyFill="1" applyBorder="1" applyAlignment="1">
      <alignment vertical="center"/>
    </xf>
    <xf numFmtId="0" fontId="19" fillId="9" borderId="39" xfId="17" applyFont="1" applyFill="1" applyBorder="1" applyAlignment="1">
      <alignment vertical="center"/>
    </xf>
    <xf numFmtId="1" fontId="20" fillId="9" borderId="134" xfId="8" applyNumberFormat="1" applyFont="1" applyFill="1" applyBorder="1" applyAlignment="1" applyProtection="1">
      <alignment horizontal="center" vertical="center" wrapText="1"/>
    </xf>
    <xf numFmtId="0" fontId="12" fillId="0" borderId="176" xfId="17" applyNumberFormat="1" applyFont="1" applyFill="1" applyBorder="1" applyAlignment="1" applyProtection="1">
      <alignment vertical="center"/>
    </xf>
    <xf numFmtId="0" fontId="12" fillId="0" borderId="176" xfId="17" applyFont="1" applyFill="1" applyBorder="1" applyAlignment="1" applyProtection="1">
      <alignment vertical="center"/>
    </xf>
    <xf numFmtId="6" fontId="12" fillId="0" borderId="176" xfId="19" applyNumberFormat="1" applyFont="1" applyFill="1" applyBorder="1" applyAlignment="1">
      <alignment horizontal="right" vertical="center"/>
    </xf>
    <xf numFmtId="6" fontId="12" fillId="8" borderId="176" xfId="19" applyNumberFormat="1" applyFont="1" applyFill="1" applyBorder="1" applyAlignment="1">
      <alignment horizontal="right" vertical="center"/>
    </xf>
    <xf numFmtId="0" fontId="12" fillId="0" borderId="177" xfId="17" applyNumberFormat="1" applyFont="1" applyFill="1" applyBorder="1" applyAlignment="1" applyProtection="1">
      <alignment vertical="center"/>
    </xf>
    <xf numFmtId="0" fontId="12" fillId="0" borderId="177" xfId="17" applyFont="1" applyFill="1" applyBorder="1" applyAlignment="1" applyProtection="1">
      <alignment vertical="center"/>
    </xf>
    <xf numFmtId="6" fontId="12" fillId="0" borderId="177" xfId="19" applyNumberFormat="1" applyFont="1" applyFill="1" applyBorder="1" applyAlignment="1">
      <alignment horizontal="right" vertical="center"/>
    </xf>
    <xf numFmtId="6" fontId="12" fillId="8" borderId="177" xfId="19" applyNumberFormat="1" applyFont="1" applyFill="1" applyBorder="1" applyAlignment="1">
      <alignment horizontal="right" vertical="center"/>
    </xf>
    <xf numFmtId="0" fontId="12" fillId="0" borderId="178" xfId="17" applyNumberFormat="1" applyFont="1" applyFill="1" applyBorder="1" applyAlignment="1" applyProtection="1">
      <alignment vertical="center"/>
    </xf>
    <xf numFmtId="0" fontId="12" fillId="0" borderId="178" xfId="17" applyFont="1" applyFill="1" applyBorder="1" applyAlignment="1" applyProtection="1">
      <alignment vertical="center"/>
    </xf>
    <xf numFmtId="6" fontId="12" fillId="0" borderId="178" xfId="19" applyNumberFormat="1" applyFont="1" applyFill="1" applyBorder="1" applyAlignment="1">
      <alignment horizontal="right" vertical="center"/>
    </xf>
    <xf numFmtId="6" fontId="12" fillId="8" borderId="178" xfId="19" applyNumberFormat="1" applyFont="1" applyFill="1" applyBorder="1" applyAlignment="1">
      <alignment horizontal="right" vertical="center"/>
    </xf>
    <xf numFmtId="6" fontId="12" fillId="0" borderId="179" xfId="19" applyNumberFormat="1" applyFont="1" applyFill="1" applyBorder="1" applyAlignment="1">
      <alignment horizontal="right" vertical="center"/>
    </xf>
    <xf numFmtId="6" fontId="12" fillId="8" borderId="179" xfId="19" applyNumberFormat="1" applyFont="1" applyFill="1" applyBorder="1" applyAlignment="1">
      <alignment horizontal="right" vertical="center"/>
    </xf>
    <xf numFmtId="0" fontId="16" fillId="0" borderId="29" xfId="17" applyFont="1" applyFill="1" applyBorder="1" applyAlignment="1" applyProtection="1">
      <alignment vertical="center"/>
    </xf>
    <xf numFmtId="6" fontId="16" fillId="0" borderId="29" xfId="19" applyNumberFormat="1" applyFont="1" applyFill="1" applyBorder="1" applyAlignment="1">
      <alignment horizontal="right" vertical="center"/>
    </xf>
    <xf numFmtId="6" fontId="16" fillId="8" borderId="29" xfId="19" applyNumberFormat="1" applyFont="1" applyFill="1" applyBorder="1" applyAlignment="1">
      <alignment horizontal="right" vertical="center"/>
    </xf>
    <xf numFmtId="0" fontId="12" fillId="0" borderId="0" xfId="17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49" fontId="13" fillId="5" borderId="10" xfId="4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10" fillId="5" borderId="10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49" fontId="13" fillId="11" borderId="11" xfId="4" applyNumberFormat="1" applyFont="1" applyFill="1" applyBorder="1" applyAlignment="1" applyProtection="1">
      <alignment horizontal="center" vertical="center"/>
    </xf>
    <xf numFmtId="49" fontId="13" fillId="11" borderId="12" xfId="4" applyNumberFormat="1" applyFont="1" applyFill="1" applyBorder="1" applyAlignment="1" applyProtection="1">
      <alignment horizontal="center" vertical="center"/>
    </xf>
    <xf numFmtId="49" fontId="13" fillId="11" borderId="13" xfId="4" applyNumberFormat="1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 wrapText="1"/>
    </xf>
    <xf numFmtId="0" fontId="24" fillId="10" borderId="10" xfId="0" applyFont="1" applyFill="1" applyBorder="1" applyAlignment="1" applyProtection="1">
      <alignment horizontal="center" vertical="center" wrapText="1"/>
    </xf>
    <xf numFmtId="49" fontId="13" fillId="11" borderId="10" xfId="4" applyNumberFormat="1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 wrapText="1"/>
    </xf>
    <xf numFmtId="49" fontId="13" fillId="11" borderId="12" xfId="4" applyNumberFormat="1" applyFont="1" applyFill="1" applyBorder="1" applyAlignment="1" applyProtection="1">
      <alignment horizontal="center" vertical="center" wrapText="1"/>
    </xf>
    <xf numFmtId="49" fontId="13" fillId="11" borderId="13" xfId="4" applyNumberFormat="1" applyFont="1" applyFill="1" applyBorder="1" applyAlignment="1" applyProtection="1">
      <alignment horizontal="center" vertical="center" wrapText="1"/>
    </xf>
    <xf numFmtId="49" fontId="22" fillId="11" borderId="10" xfId="4" applyNumberFormat="1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12" borderId="10" xfId="0" applyFont="1" applyFill="1" applyBorder="1" applyAlignment="1" applyProtection="1">
      <alignment horizontal="center" vertical="center" wrapText="1"/>
      <protection locked="0"/>
    </xf>
    <xf numFmtId="0" fontId="24" fillId="10" borderId="36" xfId="0" applyFont="1" applyFill="1" applyBorder="1" applyAlignment="1" applyProtection="1">
      <alignment horizontal="center" vertical="center" wrapText="1"/>
    </xf>
    <xf numFmtId="0" fontId="24" fillId="10" borderId="37" xfId="0" applyFont="1" applyFill="1" applyBorder="1" applyAlignment="1" applyProtection="1">
      <alignment horizontal="center" vertical="center" wrapText="1"/>
    </xf>
    <xf numFmtId="0" fontId="24" fillId="10" borderId="24" xfId="0" applyFont="1" applyFill="1" applyBorder="1" applyAlignment="1" applyProtection="1">
      <alignment horizontal="center" vertical="center" wrapText="1"/>
    </xf>
    <xf numFmtId="0" fontId="24" fillId="10" borderId="39" xfId="0" applyFont="1" applyFill="1" applyBorder="1" applyAlignment="1" applyProtection="1">
      <alignment horizontal="center" vertical="center" wrapText="1"/>
    </xf>
    <xf numFmtId="0" fontId="24" fillId="10" borderId="41" xfId="0" applyFont="1" applyFill="1" applyBorder="1" applyAlignment="1" applyProtection="1">
      <alignment horizontal="center" vertical="center" wrapText="1"/>
    </xf>
    <xf numFmtId="0" fontId="24" fillId="10" borderId="42" xfId="0" applyFont="1" applyFill="1" applyBorder="1" applyAlignment="1" applyProtection="1">
      <alignment horizontal="center" vertical="center" wrapText="1"/>
    </xf>
    <xf numFmtId="0" fontId="13" fillId="10" borderId="38" xfId="0" applyFont="1" applyFill="1" applyBorder="1" applyAlignment="1" applyProtection="1">
      <alignment horizontal="center" vertical="center" wrapText="1"/>
    </xf>
    <xf numFmtId="0" fontId="13" fillId="10" borderId="40" xfId="0" applyFont="1" applyFill="1" applyBorder="1" applyAlignment="1" applyProtection="1">
      <alignment horizontal="center" vertical="center" wrapText="1"/>
    </xf>
    <xf numFmtId="9" fontId="17" fillId="13" borderId="11" xfId="3" applyFont="1" applyFill="1" applyBorder="1" applyAlignment="1" applyProtection="1">
      <alignment horizontal="center" vertical="center"/>
    </xf>
    <xf numFmtId="9" fontId="17" fillId="13" borderId="13" xfId="3" applyFont="1" applyFill="1" applyBorder="1" applyAlignment="1" applyProtection="1">
      <alignment horizontal="center" vertical="center"/>
    </xf>
    <xf numFmtId="9" fontId="17" fillId="13" borderId="11" xfId="0" applyNumberFormat="1" applyFont="1" applyFill="1" applyBorder="1" applyAlignment="1" applyProtection="1">
      <alignment horizontal="center" vertical="center"/>
    </xf>
    <xf numFmtId="9" fontId="17" fillId="13" borderId="13" xfId="0" applyNumberFormat="1" applyFont="1" applyFill="1" applyBorder="1" applyAlignment="1" applyProtection="1">
      <alignment horizontal="center" vertical="center"/>
    </xf>
    <xf numFmtId="0" fontId="10" fillId="13" borderId="14" xfId="0" applyFont="1" applyFill="1" applyBorder="1" applyAlignment="1" applyProtection="1">
      <alignment horizontal="center" vertical="center" wrapText="1"/>
    </xf>
    <xf numFmtId="0" fontId="10" fillId="13" borderId="10" xfId="0" applyFont="1" applyFill="1" applyBorder="1" applyAlignment="1" applyProtection="1">
      <alignment horizontal="center" vertical="center" wrapText="1"/>
    </xf>
    <xf numFmtId="0" fontId="16" fillId="5" borderId="10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3" fillId="10" borderId="43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 vertical="center" wrapText="1"/>
    </xf>
    <xf numFmtId="0" fontId="13" fillId="10" borderId="14" xfId="0" applyFont="1" applyFill="1" applyBorder="1" applyAlignment="1" applyProtection="1">
      <alignment horizontal="center" vertical="center" wrapText="1"/>
    </xf>
    <xf numFmtId="0" fontId="13" fillId="14" borderId="10" xfId="0" applyFont="1" applyFill="1" applyBorder="1" applyAlignment="1" applyProtection="1">
      <alignment horizontal="center" vertical="center" wrapText="1"/>
    </xf>
    <xf numFmtId="0" fontId="13" fillId="15" borderId="14" xfId="0" applyFont="1" applyFill="1" applyBorder="1" applyAlignment="1" applyProtection="1">
      <alignment horizontal="center" vertical="center" wrapText="1"/>
    </xf>
    <xf numFmtId="0" fontId="13" fillId="15" borderId="10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3" fillId="4" borderId="43" xfId="0" applyFont="1" applyFill="1" applyBorder="1" applyAlignment="1" applyProtection="1">
      <alignment horizontal="center" vertical="center" wrapText="1"/>
    </xf>
    <xf numFmtId="0" fontId="13" fillId="13" borderId="38" xfId="0" applyFont="1" applyFill="1" applyBorder="1" applyAlignment="1" applyProtection="1">
      <alignment horizontal="center" vertical="center" wrapText="1"/>
    </xf>
    <xf numFmtId="0" fontId="13" fillId="13" borderId="28" xfId="0" applyFont="1" applyFill="1" applyBorder="1" applyAlignment="1" applyProtection="1">
      <alignment horizontal="center" vertical="center" wrapText="1"/>
    </xf>
    <xf numFmtId="0" fontId="13" fillId="13" borderId="43" xfId="0" applyFont="1" applyFill="1" applyBorder="1" applyAlignment="1" applyProtection="1">
      <alignment horizontal="center" vertical="center" wrapText="1"/>
    </xf>
    <xf numFmtId="0" fontId="10" fillId="10" borderId="38" xfId="0" applyFont="1" applyFill="1" applyBorder="1" applyAlignment="1" applyProtection="1">
      <alignment horizontal="center" vertical="center" wrapText="1"/>
    </xf>
    <xf numFmtId="0" fontId="10" fillId="10" borderId="43" xfId="0" applyFont="1" applyFill="1" applyBorder="1" applyAlignment="1" applyProtection="1">
      <alignment horizontal="center" vertical="center" wrapText="1"/>
    </xf>
    <xf numFmtId="0" fontId="13" fillId="2" borderId="3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43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25" fillId="16" borderId="11" xfId="0" applyFont="1" applyFill="1" applyBorder="1" applyAlignment="1" applyProtection="1">
      <alignment horizontal="center" vertical="center" wrapText="1"/>
    </xf>
    <xf numFmtId="0" fontId="25" fillId="16" borderId="12" xfId="0" applyFont="1" applyFill="1" applyBorder="1" applyAlignment="1" applyProtection="1">
      <alignment horizontal="center" vertical="center" wrapText="1"/>
    </xf>
    <xf numFmtId="0" fontId="25" fillId="16" borderId="13" xfId="0" applyFont="1" applyFill="1" applyBorder="1" applyAlignment="1" applyProtection="1">
      <alignment horizontal="center" vertical="center" wrapText="1"/>
    </xf>
    <xf numFmtId="0" fontId="25" fillId="13" borderId="11" xfId="0" applyFont="1" applyFill="1" applyBorder="1" applyAlignment="1" applyProtection="1">
      <alignment horizontal="center" vertical="center" wrapText="1"/>
    </xf>
    <xf numFmtId="0" fontId="25" fillId="13" borderId="13" xfId="0" applyFont="1" applyFill="1" applyBorder="1" applyAlignment="1" applyProtection="1">
      <alignment horizontal="center" vertical="center" wrapText="1"/>
    </xf>
    <xf numFmtId="0" fontId="25" fillId="19" borderId="10" xfId="8" applyFont="1" applyFill="1" applyBorder="1" applyAlignment="1" applyProtection="1">
      <alignment horizontal="center" vertical="center" wrapText="1"/>
    </xf>
    <xf numFmtId="0" fontId="13" fillId="22" borderId="10" xfId="8" applyFont="1" applyFill="1" applyBorder="1" applyAlignment="1" applyProtection="1">
      <alignment horizontal="center" vertical="center" wrapText="1"/>
    </xf>
    <xf numFmtId="0" fontId="24" fillId="10" borderId="10" xfId="8" applyFont="1" applyFill="1" applyBorder="1" applyAlignment="1" applyProtection="1">
      <alignment horizontal="center" vertical="center" wrapText="1"/>
    </xf>
    <xf numFmtId="0" fontId="25" fillId="17" borderId="10" xfId="9" quotePrefix="1" applyFont="1" applyFill="1" applyBorder="1" applyAlignment="1" applyProtection="1">
      <alignment horizontal="center" vertical="center" wrapText="1"/>
    </xf>
    <xf numFmtId="0" fontId="9" fillId="11" borderId="10" xfId="8" applyFont="1" applyFill="1" applyBorder="1" applyAlignment="1" applyProtection="1">
      <alignment horizontal="center" vertical="center" wrapText="1"/>
    </xf>
    <xf numFmtId="0" fontId="25" fillId="4" borderId="10" xfId="8" applyFont="1" applyFill="1" applyBorder="1" applyAlignment="1" applyProtection="1">
      <alignment horizontal="center" vertical="center" wrapText="1"/>
    </xf>
    <xf numFmtId="0" fontId="13" fillId="18" borderId="10" xfId="8" applyFont="1" applyFill="1" applyBorder="1" applyAlignment="1" applyProtection="1">
      <alignment horizontal="center" vertical="center" wrapText="1"/>
    </xf>
    <xf numFmtId="0" fontId="13" fillId="5" borderId="10" xfId="9" quotePrefix="1" applyFont="1" applyFill="1" applyBorder="1" applyAlignment="1" applyProtection="1">
      <alignment horizontal="center" vertical="center" wrapText="1"/>
    </xf>
    <xf numFmtId="0" fontId="13" fillId="12" borderId="10" xfId="8" quotePrefix="1" applyFont="1" applyFill="1" applyBorder="1" applyAlignment="1" applyProtection="1">
      <alignment horizontal="center" vertical="center" wrapText="1"/>
    </xf>
    <xf numFmtId="0" fontId="13" fillId="3" borderId="10" xfId="8" applyFont="1" applyFill="1" applyBorder="1" applyAlignment="1" applyProtection="1">
      <alignment horizontal="center" vertical="center" wrapText="1"/>
    </xf>
    <xf numFmtId="0" fontId="25" fillId="20" borderId="11" xfId="8" applyFont="1" applyFill="1" applyBorder="1" applyAlignment="1" applyProtection="1">
      <alignment horizontal="center" vertical="center"/>
    </xf>
    <xf numFmtId="0" fontId="25" fillId="20" borderId="12" xfId="8" applyFont="1" applyFill="1" applyBorder="1" applyAlignment="1" applyProtection="1">
      <alignment horizontal="center" vertical="center"/>
    </xf>
    <xf numFmtId="0" fontId="25" fillId="20" borderId="13" xfId="8" applyFont="1" applyFill="1" applyBorder="1" applyAlignment="1" applyProtection="1">
      <alignment horizontal="center" vertical="center"/>
    </xf>
    <xf numFmtId="0" fontId="25" fillId="20" borderId="11" xfId="8" applyFont="1" applyFill="1" applyBorder="1" applyAlignment="1" applyProtection="1">
      <alignment horizontal="center" vertical="center" wrapText="1"/>
    </xf>
    <xf numFmtId="0" fontId="25" fillId="20" borderId="12" xfId="8" applyFont="1" applyFill="1" applyBorder="1" applyAlignment="1" applyProtection="1">
      <alignment horizontal="center" vertical="center" wrapText="1"/>
    </xf>
    <xf numFmtId="0" fontId="25" fillId="20" borderId="13" xfId="8" applyFont="1" applyFill="1" applyBorder="1" applyAlignment="1" applyProtection="1">
      <alignment horizontal="center" vertical="center" wrapText="1"/>
    </xf>
    <xf numFmtId="0" fontId="25" fillId="21" borderId="11" xfId="8" applyFont="1" applyFill="1" applyBorder="1" applyAlignment="1" applyProtection="1">
      <alignment horizontal="center" vertical="center"/>
    </xf>
    <xf numFmtId="0" fontId="25" fillId="21" borderId="12" xfId="8" applyFont="1" applyFill="1" applyBorder="1" applyAlignment="1" applyProtection="1">
      <alignment horizontal="center" vertical="center"/>
    </xf>
    <xf numFmtId="0" fontId="25" fillId="21" borderId="13" xfId="8" applyFont="1" applyFill="1" applyBorder="1" applyAlignment="1" applyProtection="1">
      <alignment horizontal="center" vertical="center"/>
    </xf>
    <xf numFmtId="0" fontId="25" fillId="21" borderId="11" xfId="8" applyFont="1" applyFill="1" applyBorder="1" applyAlignment="1" applyProtection="1">
      <alignment horizontal="center" vertical="center" wrapText="1"/>
    </xf>
    <xf numFmtId="0" fontId="25" fillId="21" borderId="12" xfId="8" applyFont="1" applyFill="1" applyBorder="1" applyAlignment="1" applyProtection="1">
      <alignment horizontal="center" vertical="center" wrapText="1"/>
    </xf>
    <xf numFmtId="0" fontId="25" fillId="21" borderId="13" xfId="8" applyFont="1" applyFill="1" applyBorder="1" applyAlignment="1" applyProtection="1">
      <alignment horizontal="center" vertical="center" wrapText="1"/>
    </xf>
    <xf numFmtId="0" fontId="13" fillId="6" borderId="10" xfId="8" quotePrefix="1" applyFont="1" applyFill="1" applyBorder="1" applyAlignment="1" applyProtection="1">
      <alignment horizontal="center" vertical="center" wrapText="1"/>
    </xf>
    <xf numFmtId="0" fontId="13" fillId="24" borderId="10" xfId="8" quotePrefix="1" applyFont="1" applyFill="1" applyBorder="1" applyAlignment="1" applyProtection="1">
      <alignment horizontal="center" vertical="center" wrapText="1"/>
    </xf>
    <xf numFmtId="0" fontId="10" fillId="23" borderId="38" xfId="10" applyFont="1" applyFill="1" applyBorder="1" applyAlignment="1">
      <alignment horizontal="center" vertical="center" wrapText="1"/>
    </xf>
    <xf numFmtId="0" fontId="10" fillId="23" borderId="14" xfId="10" applyFont="1" applyFill="1" applyBorder="1" applyAlignment="1">
      <alignment horizontal="center" vertical="center" wrapText="1"/>
    </xf>
    <xf numFmtId="6" fontId="10" fillId="23" borderId="38" xfId="10" applyNumberFormat="1" applyFont="1" applyFill="1" applyBorder="1" applyAlignment="1">
      <alignment horizontal="center" vertical="center" wrapText="1"/>
    </xf>
    <xf numFmtId="6" fontId="10" fillId="23" borderId="14" xfId="10" applyNumberFormat="1" applyFont="1" applyFill="1" applyBorder="1" applyAlignment="1">
      <alignment horizontal="center" vertical="center" wrapText="1"/>
    </xf>
    <xf numFmtId="0" fontId="10" fillId="23" borderId="10" xfId="10" applyFont="1" applyFill="1" applyBorder="1" applyAlignment="1">
      <alignment horizontal="center" vertical="center" wrapText="1"/>
    </xf>
    <xf numFmtId="0" fontId="34" fillId="10" borderId="73" xfId="0" applyFont="1" applyFill="1" applyBorder="1" applyAlignment="1" applyProtection="1">
      <alignment horizontal="center" vertical="center" wrapText="1"/>
    </xf>
    <xf numFmtId="49" fontId="24" fillId="4" borderId="50" xfId="4" applyNumberFormat="1" applyFont="1" applyFill="1" applyBorder="1" applyAlignment="1" applyProtection="1">
      <alignment horizontal="center" vertical="center" wrapText="1"/>
    </xf>
    <xf numFmtId="49" fontId="24" fillId="4" borderId="37" xfId="4" applyNumberFormat="1" applyFont="1" applyFill="1" applyBorder="1" applyAlignment="1" applyProtection="1">
      <alignment horizontal="center" vertical="center" wrapText="1"/>
    </xf>
    <xf numFmtId="49" fontId="24" fillId="4" borderId="36" xfId="4" applyNumberFormat="1" applyFont="1" applyFill="1" applyBorder="1" applyAlignment="1" applyProtection="1">
      <alignment horizontal="center" vertical="center" wrapText="1"/>
    </xf>
    <xf numFmtId="0" fontId="13" fillId="5" borderId="74" xfId="0" applyFont="1" applyFill="1" applyBorder="1" applyAlignment="1" applyProtection="1">
      <alignment horizontal="center" vertical="center" wrapText="1"/>
    </xf>
    <xf numFmtId="0" fontId="13" fillId="5" borderId="75" xfId="0" applyFont="1" applyFill="1" applyBorder="1" applyAlignment="1" applyProtection="1">
      <alignment horizontal="center" vertical="center" wrapText="1"/>
    </xf>
    <xf numFmtId="0" fontId="13" fillId="5" borderId="76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49" fontId="24" fillId="4" borderId="74" xfId="4" applyNumberFormat="1" applyFont="1" applyFill="1" applyBorder="1" applyAlignment="1" applyProtection="1">
      <alignment horizontal="center" vertical="center"/>
    </xf>
    <xf numFmtId="49" fontId="24" fillId="4" borderId="75" xfId="4" applyNumberFormat="1" applyFont="1" applyFill="1" applyBorder="1" applyAlignment="1" applyProtection="1">
      <alignment horizontal="center" vertical="center"/>
    </xf>
    <xf numFmtId="49" fontId="24" fillId="4" borderId="76" xfId="4" applyNumberFormat="1" applyFont="1" applyFill="1" applyBorder="1" applyAlignment="1" applyProtection="1">
      <alignment horizontal="center" vertical="center"/>
    </xf>
    <xf numFmtId="49" fontId="13" fillId="3" borderId="73" xfId="4" applyNumberFormat="1" applyFont="1" applyFill="1" applyBorder="1" applyAlignment="1" applyProtection="1">
      <alignment horizontal="center" vertical="center" wrapText="1"/>
    </xf>
    <xf numFmtId="49" fontId="13" fillId="3" borderId="74" xfId="4" applyNumberFormat="1" applyFont="1" applyFill="1" applyBorder="1" applyAlignment="1" applyProtection="1">
      <alignment horizontal="center" vertical="center" wrapText="1"/>
    </xf>
    <xf numFmtId="49" fontId="13" fillId="4" borderId="74" xfId="4" applyNumberFormat="1" applyFont="1" applyFill="1" applyBorder="1" applyAlignment="1" applyProtection="1">
      <alignment horizontal="center" vertical="center" wrapText="1"/>
    </xf>
    <xf numFmtId="49" fontId="13" fillId="4" borderId="75" xfId="4" applyNumberFormat="1" applyFont="1" applyFill="1" applyBorder="1" applyAlignment="1" applyProtection="1">
      <alignment horizontal="center" vertical="center"/>
    </xf>
    <xf numFmtId="49" fontId="13" fillId="4" borderId="76" xfId="4" applyNumberFormat="1" applyFont="1" applyFill="1" applyBorder="1" applyAlignment="1" applyProtection="1">
      <alignment horizontal="center" vertical="center"/>
    </xf>
    <xf numFmtId="49" fontId="13" fillId="4" borderId="75" xfId="4" applyNumberFormat="1" applyFont="1" applyFill="1" applyBorder="1" applyAlignment="1" applyProtection="1">
      <alignment horizontal="center" vertical="center" wrapText="1"/>
    </xf>
    <xf numFmtId="49" fontId="13" fillId="4" borderId="76" xfId="4" applyNumberFormat="1" applyFont="1" applyFill="1" applyBorder="1" applyAlignment="1" applyProtection="1">
      <alignment horizontal="center" vertical="center" wrapText="1"/>
    </xf>
    <xf numFmtId="49" fontId="13" fillId="3" borderId="78" xfId="4" applyNumberFormat="1" applyFont="1" applyFill="1" applyBorder="1" applyAlignment="1" applyProtection="1">
      <alignment horizontal="center" vertical="center" wrapText="1"/>
    </xf>
    <xf numFmtId="49" fontId="13" fillId="3" borderId="43" xfId="4" applyNumberFormat="1" applyFont="1" applyFill="1" applyBorder="1" applyAlignment="1" applyProtection="1">
      <alignment horizontal="center" vertical="center" wrapText="1"/>
    </xf>
    <xf numFmtId="0" fontId="16" fillId="0" borderId="86" xfId="4" applyFont="1" applyFill="1" applyBorder="1" applyAlignment="1" applyProtection="1">
      <alignment horizontal="left" vertical="center"/>
    </xf>
    <xf numFmtId="0" fontId="16" fillId="0" borderId="87" xfId="4" applyFont="1" applyFill="1" applyBorder="1" applyAlignment="1" applyProtection="1">
      <alignment horizontal="left" vertical="center"/>
    </xf>
    <xf numFmtId="49" fontId="13" fillId="8" borderId="78" xfId="4" applyNumberFormat="1" applyFont="1" applyFill="1" applyBorder="1" applyAlignment="1" applyProtection="1">
      <alignment horizontal="center" vertical="center" wrapText="1"/>
    </xf>
    <xf numFmtId="49" fontId="13" fillId="8" borderId="43" xfId="4" applyNumberFormat="1" applyFont="1" applyFill="1" applyBorder="1" applyAlignment="1" applyProtection="1">
      <alignment horizontal="center" vertical="center" wrapText="1"/>
    </xf>
    <xf numFmtId="49" fontId="13" fillId="5" borderId="73" xfId="4" applyNumberFormat="1" applyFont="1" applyFill="1" applyBorder="1" applyAlignment="1" applyProtection="1">
      <alignment horizontal="center" vertical="center" wrapText="1"/>
    </xf>
    <xf numFmtId="0" fontId="34" fillId="2" borderId="77" xfId="0" applyFont="1" applyFill="1" applyBorder="1" applyAlignment="1" applyProtection="1">
      <alignment horizontal="center" vertical="center" wrapText="1"/>
    </xf>
    <xf numFmtId="0" fontId="25" fillId="2" borderId="37" xfId="0" applyFont="1" applyFill="1" applyBorder="1" applyAlignment="1" applyProtection="1">
      <alignment horizontal="center" vertical="center" wrapText="1"/>
    </xf>
    <xf numFmtId="0" fontId="25" fillId="2" borderId="24" xfId="0" applyFont="1" applyFill="1" applyBorder="1" applyAlignment="1" applyProtection="1">
      <alignment horizontal="center" vertical="center" wrapText="1"/>
    </xf>
    <xf numFmtId="0" fontId="25" fillId="2" borderId="39" xfId="0" applyFont="1" applyFill="1" applyBorder="1" applyAlignment="1" applyProtection="1">
      <alignment horizontal="center" vertical="center" wrapText="1"/>
    </xf>
    <xf numFmtId="0" fontId="25" fillId="2" borderId="41" xfId="0" applyFont="1" applyFill="1" applyBorder="1" applyAlignment="1" applyProtection="1">
      <alignment horizontal="center" vertical="center" wrapText="1"/>
    </xf>
    <xf numFmtId="0" fontId="25" fillId="2" borderId="42" xfId="0" applyFont="1" applyFill="1" applyBorder="1" applyAlignment="1" applyProtection="1">
      <alignment horizontal="center" vertical="center" wrapText="1"/>
    </xf>
    <xf numFmtId="0" fontId="16" fillId="0" borderId="103" xfId="0" applyFont="1" applyFill="1" applyBorder="1" applyAlignment="1" applyProtection="1">
      <alignment horizontal="left" vertical="center"/>
    </xf>
    <xf numFmtId="0" fontId="16" fillId="0" borderId="104" xfId="0" applyFont="1" applyFill="1" applyBorder="1" applyAlignment="1" applyProtection="1">
      <alignment horizontal="left" vertical="center"/>
    </xf>
    <xf numFmtId="49" fontId="13" fillId="3" borderId="73" xfId="0" applyNumberFormat="1" applyFont="1" applyFill="1" applyBorder="1" applyAlignment="1" applyProtection="1">
      <alignment horizontal="center" vertical="center" wrapText="1"/>
    </xf>
    <xf numFmtId="49" fontId="13" fillId="12" borderId="73" xfId="0" applyNumberFormat="1" applyFont="1" applyFill="1" applyBorder="1" applyAlignment="1" applyProtection="1">
      <alignment horizontal="center" vertical="center" wrapText="1"/>
    </xf>
    <xf numFmtId="0" fontId="25" fillId="2" borderId="90" xfId="0" applyFont="1" applyFill="1" applyBorder="1" applyAlignment="1" applyProtection="1">
      <alignment horizontal="center" vertical="center" wrapText="1"/>
    </xf>
    <xf numFmtId="49" fontId="24" fillId="13" borderId="73" xfId="0" applyNumberFormat="1" applyFont="1" applyFill="1" applyBorder="1" applyAlignment="1" applyProtection="1">
      <alignment horizontal="center" vertical="center" wrapText="1"/>
    </xf>
    <xf numFmtId="49" fontId="24" fillId="11" borderId="73" xfId="0" applyNumberFormat="1" applyFont="1" applyFill="1" applyBorder="1" applyAlignment="1" applyProtection="1">
      <alignment horizontal="center" vertical="center" wrapText="1"/>
    </xf>
    <xf numFmtId="0" fontId="12" fillId="0" borderId="116" xfId="0" applyFont="1" applyFill="1" applyBorder="1" applyAlignment="1" applyProtection="1">
      <alignment horizontal="left" vertical="center"/>
    </xf>
    <xf numFmtId="0" fontId="12" fillId="0" borderId="117" xfId="0" applyFont="1" applyFill="1" applyBorder="1" applyAlignment="1" applyProtection="1">
      <alignment horizontal="left" vertical="center"/>
    </xf>
    <xf numFmtId="0" fontId="16" fillId="0" borderId="127" xfId="4" applyFont="1" applyFill="1" applyBorder="1" applyAlignment="1" applyProtection="1">
      <alignment horizontal="left" vertical="center"/>
    </xf>
    <xf numFmtId="0" fontId="16" fillId="0" borderId="128" xfId="4" applyFont="1" applyFill="1" applyBorder="1" applyAlignment="1" applyProtection="1">
      <alignment horizontal="left" vertical="center"/>
    </xf>
    <xf numFmtId="0" fontId="12" fillId="0" borderId="109" xfId="0" applyFont="1" applyFill="1" applyBorder="1" applyAlignment="1" applyProtection="1">
      <alignment horizontal="left" vertical="center"/>
    </xf>
    <xf numFmtId="0" fontId="12" fillId="0" borderId="110" xfId="0" applyFont="1" applyFill="1" applyBorder="1" applyAlignment="1" applyProtection="1">
      <alignment horizontal="left" vertical="center"/>
    </xf>
    <xf numFmtId="0" fontId="12" fillId="0" borderId="119" xfId="0" applyFont="1" applyFill="1" applyBorder="1" applyAlignment="1" applyProtection="1">
      <alignment horizontal="left" vertical="center"/>
    </xf>
    <xf numFmtId="0" fontId="12" fillId="0" borderId="120" xfId="0" applyFont="1" applyFill="1" applyBorder="1" applyAlignment="1" applyProtection="1">
      <alignment horizontal="left" vertical="center"/>
    </xf>
    <xf numFmtId="0" fontId="16" fillId="0" borderId="154" xfId="0" applyFont="1" applyFill="1" applyBorder="1" applyAlignment="1" applyProtection="1">
      <alignment horizontal="left" vertical="center"/>
    </xf>
    <xf numFmtId="0" fontId="16" fillId="0" borderId="155" xfId="0" applyFont="1" applyFill="1" applyBorder="1" applyAlignment="1" applyProtection="1">
      <alignment horizontal="left" vertical="center"/>
    </xf>
    <xf numFmtId="0" fontId="25" fillId="10" borderId="134" xfId="0" applyFont="1" applyFill="1" applyBorder="1" applyAlignment="1" applyProtection="1">
      <alignment horizontal="center" vertical="center" wrapText="1"/>
    </xf>
    <xf numFmtId="0" fontId="39" fillId="4" borderId="135" xfId="0" applyFont="1" applyFill="1" applyBorder="1" applyAlignment="1" applyProtection="1">
      <alignment horizontal="center" vertical="center"/>
    </xf>
    <xf numFmtId="0" fontId="39" fillId="4" borderId="136" xfId="0" applyFont="1" applyFill="1" applyBorder="1" applyAlignment="1" applyProtection="1">
      <alignment horizontal="center" vertical="center"/>
    </xf>
    <xf numFmtId="0" fontId="39" fillId="4" borderId="137" xfId="0" applyFont="1" applyFill="1" applyBorder="1" applyAlignment="1" applyProtection="1">
      <alignment horizontal="center" vertical="center"/>
    </xf>
    <xf numFmtId="49" fontId="25" fillId="5" borderId="140" xfId="4" applyNumberFormat="1" applyFont="1" applyFill="1" applyBorder="1" applyAlignment="1" applyProtection="1">
      <alignment horizontal="center" vertical="center" wrapText="1"/>
    </xf>
    <xf numFmtId="49" fontId="25" fillId="5" borderId="141" xfId="4" applyNumberFormat="1" applyFont="1" applyFill="1" applyBorder="1" applyAlignment="1" applyProtection="1">
      <alignment horizontal="center" vertical="center" wrapText="1"/>
    </xf>
    <xf numFmtId="49" fontId="25" fillId="5" borderId="142" xfId="4" applyNumberFormat="1" applyFont="1" applyFill="1" applyBorder="1" applyAlignment="1" applyProtection="1">
      <alignment horizontal="center" vertical="center" wrapText="1"/>
    </xf>
    <xf numFmtId="0" fontId="16" fillId="0" borderId="152" xfId="4" applyFont="1" applyFill="1" applyBorder="1" applyAlignment="1" applyProtection="1">
      <alignment horizontal="left" vertical="center"/>
    </xf>
    <xf numFmtId="0" fontId="16" fillId="0" borderId="153" xfId="4" applyFont="1" applyFill="1" applyBorder="1" applyAlignment="1" applyProtection="1">
      <alignment horizontal="left" vertical="center"/>
    </xf>
    <xf numFmtId="0" fontId="12" fillId="0" borderId="160" xfId="0" applyFont="1" applyFill="1" applyBorder="1" applyAlignment="1" applyProtection="1">
      <alignment horizontal="left" vertical="center"/>
    </xf>
    <xf numFmtId="0" fontId="16" fillId="0" borderId="164" xfId="4" applyFont="1" applyFill="1" applyBorder="1" applyAlignment="1" applyProtection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157" xfId="0" applyFont="1" applyFill="1" applyBorder="1" applyAlignment="1" applyProtection="1">
      <alignment horizontal="left" vertical="center"/>
    </xf>
    <xf numFmtId="0" fontId="12" fillId="0" borderId="161" xfId="0" applyFont="1" applyFill="1" applyBorder="1" applyAlignment="1" applyProtection="1">
      <alignment horizontal="left" vertical="center"/>
    </xf>
    <xf numFmtId="49" fontId="25" fillId="5" borderId="134" xfId="4" applyNumberFormat="1" applyFont="1" applyFill="1" applyBorder="1" applyAlignment="1" applyProtection="1">
      <alignment horizontal="center" vertical="center" wrapText="1"/>
    </xf>
    <xf numFmtId="49" fontId="24" fillId="11" borderId="36" xfId="4" applyNumberFormat="1" applyFont="1" applyFill="1" applyBorder="1" applyAlignment="1" applyProtection="1">
      <alignment horizontal="center" vertical="center" wrapText="1"/>
    </xf>
    <xf numFmtId="49" fontId="24" fillId="11" borderId="50" xfId="4" applyNumberFormat="1" applyFont="1" applyFill="1" applyBorder="1" applyAlignment="1" applyProtection="1">
      <alignment horizontal="center" vertical="center" wrapText="1"/>
    </xf>
    <xf numFmtId="49" fontId="24" fillId="11" borderId="37" xfId="4" applyNumberFormat="1" applyFont="1" applyFill="1" applyBorder="1" applyAlignment="1" applyProtection="1">
      <alignment horizontal="center" vertical="center" wrapText="1"/>
    </xf>
    <xf numFmtId="49" fontId="13" fillId="5" borderId="134" xfId="4" applyNumberFormat="1" applyFont="1" applyFill="1" applyBorder="1" applyAlignment="1" applyProtection="1">
      <alignment horizontal="center" vertical="center" wrapText="1"/>
    </xf>
    <xf numFmtId="0" fontId="10" fillId="6" borderId="134" xfId="0" applyFont="1" applyFill="1" applyBorder="1" applyAlignment="1" applyProtection="1">
      <alignment horizontal="center" vertical="center" wrapText="1"/>
    </xf>
    <xf numFmtId="0" fontId="13" fillId="5" borderId="134" xfId="9" applyFont="1" applyFill="1" applyBorder="1" applyAlignment="1" applyProtection="1">
      <alignment horizontal="center" vertical="center" wrapText="1"/>
    </xf>
    <xf numFmtId="0" fontId="34" fillId="10" borderId="134" xfId="0" applyFont="1" applyFill="1" applyBorder="1" applyAlignment="1" applyProtection="1">
      <alignment horizontal="center" vertical="center" wrapText="1"/>
    </xf>
    <xf numFmtId="0" fontId="13" fillId="10" borderId="134" xfId="0" applyFont="1" applyFill="1" applyBorder="1" applyAlignment="1" applyProtection="1">
      <alignment horizontal="center" vertical="center" wrapText="1"/>
    </xf>
    <xf numFmtId="49" fontId="24" fillId="11" borderId="140" xfId="4" applyNumberFormat="1" applyFont="1" applyFill="1" applyBorder="1" applyAlignment="1" applyProtection="1">
      <alignment horizontal="center" vertical="center"/>
    </xf>
    <xf numFmtId="49" fontId="24" fillId="11" borderId="141" xfId="4" applyNumberFormat="1" applyFont="1" applyFill="1" applyBorder="1" applyAlignment="1" applyProtection="1">
      <alignment horizontal="center" vertical="center"/>
    </xf>
    <xf numFmtId="49" fontId="24" fillId="11" borderId="142" xfId="4" applyNumberFormat="1" applyFont="1" applyFill="1" applyBorder="1" applyAlignment="1" applyProtection="1">
      <alignment horizontal="center" vertical="center"/>
    </xf>
    <xf numFmtId="49" fontId="13" fillId="3" borderId="134" xfId="4" applyNumberFormat="1" applyFont="1" applyFill="1" applyBorder="1" applyAlignment="1" applyProtection="1">
      <alignment horizontal="center" vertical="center" wrapText="1"/>
    </xf>
    <xf numFmtId="49" fontId="13" fillId="8" borderId="144" xfId="4" applyNumberFormat="1" applyFont="1" applyFill="1" applyBorder="1" applyAlignment="1" applyProtection="1">
      <alignment horizontal="center" vertical="center" wrapText="1"/>
    </xf>
    <xf numFmtId="49" fontId="13" fillId="8" borderId="14" xfId="4" applyNumberFormat="1" applyFont="1" applyFill="1" applyBorder="1" applyAlignment="1" applyProtection="1">
      <alignment horizontal="center" vertical="center" wrapText="1"/>
    </xf>
    <xf numFmtId="49" fontId="13" fillId="4" borderId="134" xfId="4" applyNumberFormat="1" applyFont="1" applyFill="1" applyBorder="1" applyAlignment="1" applyProtection="1">
      <alignment horizontal="center" vertical="center" wrapText="1"/>
    </xf>
    <xf numFmtId="0" fontId="34" fillId="2" borderId="134" xfId="0" applyFont="1" applyFill="1" applyBorder="1" applyAlignment="1" applyProtection="1">
      <alignment horizontal="center" vertical="center" wrapText="1"/>
    </xf>
    <xf numFmtId="0" fontId="25" fillId="2" borderId="134" xfId="0" applyFont="1" applyFill="1" applyBorder="1" applyAlignment="1" applyProtection="1">
      <alignment horizontal="center" vertical="center" wrapText="1"/>
    </xf>
    <xf numFmtId="49" fontId="24" fillId="4" borderId="140" xfId="4" applyNumberFormat="1" applyFont="1" applyFill="1" applyBorder="1" applyAlignment="1" applyProtection="1">
      <alignment horizontal="center" vertical="center"/>
    </xf>
    <xf numFmtId="49" fontId="24" fillId="4" borderId="141" xfId="4" applyNumberFormat="1" applyFont="1" applyFill="1" applyBorder="1" applyAlignment="1" applyProtection="1">
      <alignment horizontal="center" vertical="center"/>
    </xf>
    <xf numFmtId="49" fontId="24" fillId="4" borderId="142" xfId="4" applyNumberFormat="1" applyFont="1" applyFill="1" applyBorder="1" applyAlignment="1" applyProtection="1">
      <alignment horizontal="center" vertical="center"/>
    </xf>
    <xf numFmtId="49" fontId="13" fillId="12" borderId="134" xfId="4" applyNumberFormat="1" applyFont="1" applyFill="1" applyBorder="1" applyAlignment="1" applyProtection="1">
      <alignment horizontal="center" vertical="center" wrapText="1"/>
    </xf>
    <xf numFmtId="49" fontId="13" fillId="8" borderId="134" xfId="4" applyNumberFormat="1" applyFont="1" applyFill="1" applyBorder="1" applyAlignment="1" applyProtection="1">
      <alignment horizontal="center" vertical="center" wrapText="1"/>
    </xf>
    <xf numFmtId="0" fontId="24" fillId="10" borderId="135" xfId="0" applyFont="1" applyFill="1" applyBorder="1" applyAlignment="1" applyProtection="1">
      <alignment horizontal="center" vertical="center" wrapText="1"/>
    </xf>
    <xf numFmtId="0" fontId="24" fillId="10" borderId="137" xfId="0" applyFont="1" applyFill="1" applyBorder="1" applyAlignment="1" applyProtection="1">
      <alignment horizontal="center" vertical="center" wrapText="1"/>
    </xf>
    <xf numFmtId="0" fontId="24" fillId="10" borderId="138" xfId="0" applyFont="1" applyFill="1" applyBorder="1" applyAlignment="1" applyProtection="1">
      <alignment horizontal="center" vertical="center" wrapText="1"/>
    </xf>
    <xf numFmtId="0" fontId="24" fillId="10" borderId="166" xfId="0" applyFont="1" applyFill="1" applyBorder="1" applyAlignment="1" applyProtection="1">
      <alignment horizontal="center" vertical="center" wrapText="1"/>
    </xf>
    <xf numFmtId="0" fontId="43" fillId="6" borderId="140" xfId="0" applyFont="1" applyFill="1" applyBorder="1" applyAlignment="1" applyProtection="1">
      <alignment horizontal="center" vertical="center" wrapText="1"/>
    </xf>
    <xf numFmtId="0" fontId="43" fillId="6" borderId="141" xfId="0" applyFont="1" applyFill="1" applyBorder="1" applyAlignment="1" applyProtection="1">
      <alignment horizontal="center" vertical="center" wrapText="1"/>
    </xf>
    <xf numFmtId="0" fontId="43" fillId="6" borderId="142" xfId="0" applyFont="1" applyFill="1" applyBorder="1" applyAlignment="1" applyProtection="1">
      <alignment horizontal="center" vertical="center" wrapText="1"/>
    </xf>
    <xf numFmtId="0" fontId="43" fillId="11" borderId="140" xfId="0" applyFont="1" applyFill="1" applyBorder="1" applyAlignment="1" applyProtection="1">
      <alignment horizontal="center" vertical="center" wrapText="1"/>
    </xf>
    <xf numFmtId="0" fontId="43" fillId="11" borderId="141" xfId="0" applyFont="1" applyFill="1" applyBorder="1" applyAlignment="1" applyProtection="1">
      <alignment horizontal="center" vertical="center" wrapText="1"/>
    </xf>
    <xf numFmtId="0" fontId="43" fillId="11" borderId="142" xfId="0" applyFont="1" applyFill="1" applyBorder="1" applyAlignment="1" applyProtection="1">
      <alignment horizontal="center" vertical="center" wrapText="1"/>
    </xf>
    <xf numFmtId="0" fontId="13" fillId="5" borderId="144" xfId="0" applyFont="1" applyFill="1" applyBorder="1" applyAlignment="1" applyProtection="1">
      <alignment horizontal="center" vertical="center" wrapText="1"/>
    </xf>
    <xf numFmtId="0" fontId="13" fillId="5" borderId="28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wrapText="1"/>
    </xf>
    <xf numFmtId="0" fontId="13" fillId="10" borderId="144" xfId="0" applyFont="1" applyFill="1" applyBorder="1" applyAlignment="1" applyProtection="1">
      <alignment horizontal="center" vertical="center" wrapText="1"/>
    </xf>
    <xf numFmtId="0" fontId="13" fillId="10" borderId="28" xfId="0" applyFont="1" applyFill="1" applyBorder="1" applyAlignment="1" applyProtection="1">
      <alignment horizontal="center" vertical="center" wrapText="1"/>
    </xf>
    <xf numFmtId="0" fontId="13" fillId="8" borderId="134" xfId="0" applyFont="1" applyFill="1" applyBorder="1" applyAlignment="1" applyProtection="1">
      <alignment horizontal="center" vertical="center" wrapText="1"/>
    </xf>
    <xf numFmtId="0" fontId="13" fillId="12" borderId="134" xfId="0" applyFont="1" applyFill="1" applyBorder="1" applyAlignment="1" applyProtection="1">
      <alignment horizontal="center" vertical="center" wrapText="1"/>
    </xf>
    <xf numFmtId="0" fontId="10" fillId="10" borderId="134" xfId="0" applyFont="1" applyFill="1" applyBorder="1" applyAlignment="1" applyProtection="1">
      <alignment horizontal="center" vertical="center" wrapText="1"/>
    </xf>
    <xf numFmtId="0" fontId="45" fillId="13" borderId="140" xfId="0" quotePrefix="1" applyFont="1" applyFill="1" applyBorder="1" applyAlignment="1" applyProtection="1">
      <alignment horizontal="center" vertical="center"/>
    </xf>
    <xf numFmtId="0" fontId="45" fillId="13" borderId="141" xfId="0" quotePrefix="1" applyFont="1" applyFill="1" applyBorder="1" applyAlignment="1" applyProtection="1">
      <alignment horizontal="center" vertical="center"/>
    </xf>
    <xf numFmtId="0" fontId="46" fillId="0" borderId="141" xfId="0" applyFont="1" applyBorder="1" applyAlignment="1" applyProtection="1">
      <alignment horizontal="center" vertical="center"/>
    </xf>
    <xf numFmtId="0" fontId="46" fillId="0" borderId="142" xfId="0" applyFont="1" applyBorder="1" applyAlignment="1" applyProtection="1">
      <alignment horizontal="center" vertical="center"/>
    </xf>
    <xf numFmtId="0" fontId="45" fillId="13" borderId="140" xfId="0" applyFont="1" applyFill="1" applyBorder="1" applyAlignment="1" applyProtection="1">
      <alignment horizontal="center" vertical="center" wrapText="1"/>
    </xf>
    <xf numFmtId="0" fontId="45" fillId="13" borderId="142" xfId="0" applyFont="1" applyFill="1" applyBorder="1" applyAlignment="1" applyProtection="1">
      <alignment horizontal="center" vertical="center" wrapText="1"/>
    </xf>
    <xf numFmtId="0" fontId="45" fillId="13" borderId="140" xfId="0" applyFont="1" applyFill="1" applyBorder="1" applyAlignment="1" applyProtection="1">
      <alignment horizontal="center" vertical="center"/>
    </xf>
    <xf numFmtId="0" fontId="45" fillId="13" borderId="141" xfId="0" applyFont="1" applyFill="1" applyBorder="1" applyAlignment="1" applyProtection="1">
      <alignment horizontal="center" vertical="center"/>
    </xf>
    <xf numFmtId="0" fontId="45" fillId="13" borderId="142" xfId="0" applyFont="1" applyFill="1" applyBorder="1" applyAlignment="1" applyProtection="1">
      <alignment horizontal="center" vertical="center"/>
    </xf>
    <xf numFmtId="0" fontId="17" fillId="10" borderId="144" xfId="0" applyFont="1" applyFill="1" applyBorder="1" applyAlignment="1" applyProtection="1">
      <alignment horizontal="center" vertical="center" wrapText="1"/>
    </xf>
    <xf numFmtId="0" fontId="17" fillId="10" borderId="28" xfId="0" applyFont="1" applyFill="1" applyBorder="1" applyAlignment="1" applyProtection="1">
      <alignment horizontal="center" vertical="center" wrapText="1"/>
    </xf>
    <xf numFmtId="0" fontId="17" fillId="10" borderId="14" xfId="0" applyFont="1" applyFill="1" applyBorder="1" applyAlignment="1" applyProtection="1">
      <alignment horizontal="center" vertical="center"/>
    </xf>
    <xf numFmtId="0" fontId="17" fillId="10" borderId="14" xfId="0" applyFont="1" applyFill="1" applyBorder="1" applyAlignment="1" applyProtection="1">
      <alignment horizontal="center" vertical="center" wrapText="1"/>
    </xf>
    <xf numFmtId="0" fontId="47" fillId="4" borderId="144" xfId="0" applyFont="1" applyFill="1" applyBorder="1" applyAlignment="1" applyProtection="1">
      <alignment horizontal="center" vertical="center" wrapText="1"/>
    </xf>
    <xf numFmtId="0" fontId="47" fillId="4" borderId="28" xfId="0" applyFont="1" applyFill="1" applyBorder="1" applyAlignment="1" applyProtection="1">
      <alignment horizontal="center" vertical="center" wrapText="1"/>
    </xf>
    <xf numFmtId="0" fontId="47" fillId="4" borderId="14" xfId="0" applyFont="1" applyFill="1" applyBorder="1" applyAlignment="1" applyProtection="1">
      <alignment horizontal="center" vertical="center"/>
    </xf>
    <xf numFmtId="0" fontId="47" fillId="4" borderId="28" xfId="0" applyFont="1" applyFill="1" applyBorder="1" applyAlignment="1" applyProtection="1">
      <alignment vertical="center"/>
    </xf>
    <xf numFmtId="0" fontId="47" fillId="4" borderId="14" xfId="0" applyFont="1" applyFill="1" applyBorder="1" applyAlignment="1" applyProtection="1">
      <alignment vertical="center"/>
    </xf>
    <xf numFmtId="0" fontId="10" fillId="22" borderId="134" xfId="14" applyFont="1" applyFill="1" applyBorder="1" applyAlignment="1" applyProtection="1">
      <alignment horizontal="center" vertical="center" wrapText="1"/>
    </xf>
    <xf numFmtId="0" fontId="24" fillId="10" borderId="134" xfId="4" applyFont="1" applyFill="1" applyBorder="1" applyAlignment="1" applyProtection="1">
      <alignment horizontal="center" vertical="center" wrapText="1"/>
    </xf>
    <xf numFmtId="0" fontId="13" fillId="10" borderId="134" xfId="4" applyFont="1" applyFill="1" applyBorder="1" applyAlignment="1" applyProtection="1">
      <alignment horizontal="center" vertical="center" wrapText="1"/>
    </xf>
    <xf numFmtId="0" fontId="13" fillId="14" borderId="134" xfId="4" applyFont="1" applyFill="1" applyBorder="1" applyAlignment="1" applyProtection="1">
      <alignment horizontal="center" vertical="center" wrapText="1"/>
    </xf>
    <xf numFmtId="0" fontId="39" fillId="30" borderId="140" xfId="13" applyFont="1" applyFill="1" applyBorder="1" applyAlignment="1" applyProtection="1">
      <alignment horizontal="center" vertical="center" wrapText="1"/>
    </xf>
    <xf numFmtId="0" fontId="39" fillId="30" borderId="141" xfId="13" applyFont="1" applyFill="1" applyBorder="1" applyAlignment="1" applyProtection="1">
      <alignment horizontal="center" vertical="center" wrapText="1"/>
    </xf>
    <xf numFmtId="0" fontId="39" fillId="30" borderId="142" xfId="13" applyFont="1" applyFill="1" applyBorder="1" applyAlignment="1" applyProtection="1">
      <alignment horizontal="center" vertical="center" wrapText="1"/>
    </xf>
    <xf numFmtId="0" fontId="39" fillId="30" borderId="134" xfId="13" applyFont="1" applyFill="1" applyBorder="1" applyAlignment="1" applyProtection="1">
      <alignment horizontal="center" vertical="center" wrapText="1"/>
    </xf>
    <xf numFmtId="0" fontId="39" fillId="31" borderId="134" xfId="13" applyFont="1" applyFill="1" applyBorder="1" applyAlignment="1" applyProtection="1">
      <alignment horizontal="center" vertical="center" wrapText="1"/>
    </xf>
    <xf numFmtId="0" fontId="39" fillId="32" borderId="134" xfId="13" applyFont="1" applyFill="1" applyBorder="1" applyAlignment="1" applyProtection="1">
      <alignment horizontal="center" vertical="center" wrapText="1"/>
    </xf>
    <xf numFmtId="0" fontId="39" fillId="0" borderId="140" xfId="16" applyFont="1" applyBorder="1" applyAlignment="1">
      <alignment horizontal="center" vertical="center" wrapText="1"/>
    </xf>
    <xf numFmtId="0" fontId="39" fillId="0" borderId="141" xfId="16" applyFont="1" applyBorder="1" applyAlignment="1">
      <alignment horizontal="center" vertical="center"/>
    </xf>
    <xf numFmtId="0" fontId="39" fillId="0" borderId="142" xfId="16" applyFont="1" applyBorder="1" applyAlignment="1">
      <alignment horizontal="center" vertical="center"/>
    </xf>
    <xf numFmtId="0" fontId="10" fillId="12" borderId="144" xfId="8" applyFont="1" applyFill="1" applyBorder="1" applyAlignment="1">
      <alignment horizontal="center" vertical="center" wrapText="1"/>
    </xf>
    <xf numFmtId="0" fontId="10" fillId="12" borderId="28" xfId="8" applyFont="1" applyFill="1" applyBorder="1" applyAlignment="1">
      <alignment horizontal="center" vertical="center" wrapText="1"/>
    </xf>
    <xf numFmtId="0" fontId="39" fillId="10" borderId="134" xfId="8" applyFont="1" applyFill="1" applyBorder="1" applyAlignment="1" applyProtection="1">
      <alignment horizontal="center" vertical="center" wrapText="1"/>
    </xf>
    <xf numFmtId="0" fontId="10" fillId="22" borderId="134" xfId="17" applyFont="1" applyFill="1" applyBorder="1" applyAlignment="1">
      <alignment horizontal="center" vertical="center" wrapText="1"/>
    </xf>
    <xf numFmtId="0" fontId="10" fillId="22" borderId="134" xfId="17" applyFont="1" applyFill="1" applyBorder="1" applyAlignment="1">
      <alignment horizontal="center" vertical="center"/>
    </xf>
    <xf numFmtId="0" fontId="10" fillId="11" borderId="134" xfId="17" applyFont="1" applyFill="1" applyBorder="1" applyAlignment="1">
      <alignment horizontal="center" vertical="center" wrapText="1"/>
    </xf>
    <xf numFmtId="0" fontId="10" fillId="3" borderId="144" xfId="8" applyFont="1" applyFill="1" applyBorder="1" applyAlignment="1">
      <alignment horizontal="center" vertical="center" wrapText="1"/>
    </xf>
    <xf numFmtId="0" fontId="10" fillId="3" borderId="28" xfId="8" applyFont="1" applyFill="1" applyBorder="1" applyAlignment="1">
      <alignment horizontal="center" vertical="center" wrapText="1"/>
    </xf>
  </cellXfs>
  <cellStyles count="20">
    <cellStyle name="Comma" xfId="1" builtinId="3"/>
    <cellStyle name="Comma 2 2" xfId="18"/>
    <cellStyle name="Comma 3 2" xfId="11"/>
    <cellStyle name="Comma 4" xfId="5"/>
    <cellStyle name="Comma 4 2" xfId="6"/>
    <cellStyle name="Currency" xfId="2" builtinId="4"/>
    <cellStyle name="Currency 2 2" xfId="19"/>
    <cellStyle name="Normal" xfId="0" builtinId="0"/>
    <cellStyle name="Normal 13" xfId="9"/>
    <cellStyle name="Normal 2 2" xfId="8"/>
    <cellStyle name="Normal 24" xfId="15"/>
    <cellStyle name="Normal 27" xfId="16"/>
    <cellStyle name="Normal 3" xfId="4"/>
    <cellStyle name="Normal 32" xfId="10"/>
    <cellStyle name="Normal 8" xfId="17"/>
    <cellStyle name="Normal_Sheet1 2 2" xfId="14"/>
    <cellStyle name="Normal_Sheet1 3" xfId="7"/>
    <cellStyle name="Normal_Sheet1 3 2" xfId="13"/>
    <cellStyle name="Percent" xfId="3" builtinId="5"/>
    <cellStyle name="Percent 2" xfId="12"/>
  </cellStyles>
  <dxfs count="6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Audit%20Adjustments/FY2021-22%20Budget%20Letter%20Summary%20Of%20Audit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Level%204/IAT%20Salary/02.01.2021_International%20Associate-Escadrille%20Teach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Level%204/CDF/FY2021-22%20Initial%20CDF%20Based%20on%2075%25%20of%20FY2020-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Level%204/SCA/Feb.%202021%20MFP%20Counted%20by%20Site%20&amp;%20Grad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Level%204/Pay%20Raises/FY2021-22%20PEP%20Payraise%20File_MFP%20Placehold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Tax%20Data/2019%20La%20Tax%20Commission%20Report%20&amp;%20Break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Tax%20Data/Table%207_Access%20Database_3.3.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Audit%20Adjustments/Files%20from%20Audit/FY%202019-2020%20AFR-CAFR%20Adjustments%206.10.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Per%20Pupil%20Calculations/FY2021-22/Initial/FY2021-22%20INITIAL%20Charter%20Per%20Pupil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_Summary"/>
      <sheetName val="5A2A_NewVision"/>
      <sheetName val="5A2B_Glencoe"/>
      <sheetName val="5A2C_ISL"/>
      <sheetName val="5A2D_Avoyelles"/>
      <sheetName val="5A2E_Delhi"/>
      <sheetName val="5A2F_BelleChasse"/>
      <sheetName val="5A2H_MAX"/>
      <sheetName val="5A4_NOCCA"/>
      <sheetName val="5A5_LSMSA"/>
      <sheetName val="5A6_Thrive"/>
      <sheetName val="5C1A_Madison"/>
      <sheetName val="5C1B_DArbonne"/>
      <sheetName val="5C1C_IntlHigh"/>
      <sheetName val="5C1D_NOMMA"/>
      <sheetName val="5C1E_LFNO"/>
      <sheetName val="5C1F_LCCharter"/>
      <sheetName val="5C1G_JSClark"/>
      <sheetName val="5C1H_Southwest"/>
      <sheetName val="5C1I_LAKey"/>
      <sheetName val="5C1J_JCFAEast"/>
      <sheetName val="5C1M_GEOMidCity"/>
      <sheetName val="5C1N_Delta"/>
      <sheetName val="5C1O_Impact"/>
      <sheetName val="5C1Q_Advantage"/>
      <sheetName val="5C1R_Iberville"/>
      <sheetName val="5C1S_LCColPrep"/>
      <sheetName val="5C1T_Northeast"/>
      <sheetName val="5C1U_AcadianaRen"/>
      <sheetName val="5C1V_LafRen"/>
      <sheetName val="5C1W_Willow"/>
      <sheetName val="5C1Y_GEOPrep"/>
      <sheetName val="5C1Z_LincolnPrep"/>
      <sheetName val="5C1AE_NobleMinds"/>
      <sheetName val="5C1AF_JCFALaf"/>
      <sheetName val="5C1AG_Collegiate"/>
      <sheetName val="5C1AI_Harmony"/>
      <sheetName val="5C1AJ_Athlos"/>
      <sheetName val="5C1AK_NxtGen"/>
      <sheetName val="5C1AL_RedRiver"/>
      <sheetName val="5C2_LAVCA"/>
      <sheetName val="5C3_UnvView"/>
      <sheetName val="5C1AH_BRUP"/>
    </sheetNames>
    <sheetDataSet>
      <sheetData sheetId="0">
        <row r="1">
          <cell r="I1"/>
          <cell r="O1"/>
        </row>
        <row r="2">
          <cell r="I2" t="str">
            <v>Total State
Audit
Adjustments
for FY2021-22
MFP Budget
Letter</v>
          </cell>
          <cell r="O2" t="str">
            <v>Total Local Revenue
Representation
Audit Adjustments
for FY2021-22
MFP Budget
Letter</v>
          </cell>
        </row>
        <row r="3">
          <cell r="I3"/>
          <cell r="O3"/>
        </row>
        <row r="4">
          <cell r="I4">
            <v>6</v>
          </cell>
          <cell r="O4">
            <v>12</v>
          </cell>
        </row>
        <row r="5">
          <cell r="I5"/>
          <cell r="O5"/>
        </row>
        <row r="6">
          <cell r="I6"/>
          <cell r="O6"/>
        </row>
        <row r="7">
          <cell r="A7">
            <v>1</v>
          </cell>
          <cell r="B7"/>
          <cell r="C7" t="str">
            <v>Acadia</v>
          </cell>
          <cell r="D7">
            <v>-23076</v>
          </cell>
          <cell r="E7">
            <v>11538</v>
          </cell>
          <cell r="F7">
            <v>0</v>
          </cell>
          <cell r="G7">
            <v>0</v>
          </cell>
          <cell r="H7">
            <v>0</v>
          </cell>
          <cell r="I7">
            <v>-11538</v>
          </cell>
          <cell r="J7"/>
          <cell r="K7"/>
          <cell r="L7"/>
          <cell r="M7"/>
          <cell r="N7"/>
          <cell r="O7"/>
        </row>
        <row r="8">
          <cell r="A8">
            <v>2</v>
          </cell>
          <cell r="B8"/>
          <cell r="C8" t="str">
            <v>Allen</v>
          </cell>
          <cell r="D8">
            <v>-7473</v>
          </cell>
          <cell r="E8">
            <v>48575</v>
          </cell>
          <cell r="F8">
            <v>140272</v>
          </cell>
          <cell r="G8">
            <v>-87504</v>
          </cell>
          <cell r="H8">
            <v>0</v>
          </cell>
          <cell r="I8">
            <v>93870</v>
          </cell>
          <cell r="J8"/>
          <cell r="K8"/>
          <cell r="L8"/>
          <cell r="M8"/>
          <cell r="N8"/>
          <cell r="O8"/>
        </row>
        <row r="9">
          <cell r="A9">
            <v>3</v>
          </cell>
          <cell r="B9"/>
          <cell r="C9" t="str">
            <v>Ascension</v>
          </cell>
          <cell r="D9">
            <v>-522437</v>
          </cell>
          <cell r="E9">
            <v>232461</v>
          </cell>
          <cell r="F9">
            <v>-67685</v>
          </cell>
          <cell r="G9">
            <v>56856</v>
          </cell>
          <cell r="H9">
            <v>0</v>
          </cell>
          <cell r="I9">
            <v>-300805</v>
          </cell>
          <cell r="J9"/>
          <cell r="K9"/>
          <cell r="L9"/>
          <cell r="M9"/>
          <cell r="N9"/>
          <cell r="O9"/>
        </row>
        <row r="10">
          <cell r="A10">
            <v>4</v>
          </cell>
          <cell r="B10"/>
          <cell r="C10" t="str">
            <v>Assumption</v>
          </cell>
          <cell r="D10">
            <v>0</v>
          </cell>
          <cell r="E10">
            <v>-6792</v>
          </cell>
          <cell r="F10">
            <v>-11171</v>
          </cell>
          <cell r="G10">
            <v>13118</v>
          </cell>
          <cell r="H10">
            <v>0</v>
          </cell>
          <cell r="I10">
            <v>-4845</v>
          </cell>
          <cell r="J10"/>
          <cell r="K10"/>
          <cell r="L10"/>
          <cell r="M10"/>
          <cell r="N10"/>
          <cell r="O10"/>
        </row>
        <row r="11">
          <cell r="A11">
            <v>5</v>
          </cell>
          <cell r="B11"/>
          <cell r="C11" t="str">
            <v>Avoyelles</v>
          </cell>
          <cell r="D11">
            <v>-12310</v>
          </cell>
          <cell r="E11">
            <v>-9233</v>
          </cell>
          <cell r="F11">
            <v>-26471</v>
          </cell>
          <cell r="G11">
            <v>31220</v>
          </cell>
          <cell r="H11">
            <v>0</v>
          </cell>
          <cell r="I11">
            <v>-16794</v>
          </cell>
          <cell r="J11"/>
          <cell r="K11"/>
          <cell r="L11"/>
          <cell r="M11"/>
          <cell r="N11"/>
          <cell r="O11"/>
        </row>
        <row r="12">
          <cell r="A12">
            <v>6</v>
          </cell>
          <cell r="B12"/>
          <cell r="C12" t="str">
            <v>Beauregard</v>
          </cell>
          <cell r="D12">
            <v>-12666</v>
          </cell>
          <cell r="E12">
            <v>12666</v>
          </cell>
          <cell r="F12">
            <v>41786</v>
          </cell>
          <cell r="G12">
            <v>-12680</v>
          </cell>
          <cell r="H12">
            <v>-23075</v>
          </cell>
          <cell r="I12">
            <v>6031</v>
          </cell>
          <cell r="J12"/>
          <cell r="K12"/>
          <cell r="L12"/>
          <cell r="M12"/>
          <cell r="N12"/>
          <cell r="O12"/>
        </row>
        <row r="13">
          <cell r="A13">
            <v>7</v>
          </cell>
          <cell r="B13"/>
          <cell r="C13" t="str">
            <v>Bienville</v>
          </cell>
          <cell r="D13">
            <v>-3844</v>
          </cell>
          <cell r="E13">
            <v>-1922</v>
          </cell>
          <cell r="F13">
            <v>-12785</v>
          </cell>
          <cell r="G13">
            <v>8320</v>
          </cell>
          <cell r="H13">
            <v>0</v>
          </cell>
          <cell r="I13">
            <v>-10231</v>
          </cell>
          <cell r="J13"/>
          <cell r="K13"/>
          <cell r="L13"/>
          <cell r="M13"/>
          <cell r="N13"/>
          <cell r="O13"/>
        </row>
        <row r="14">
          <cell r="A14">
            <v>8</v>
          </cell>
          <cell r="B14"/>
          <cell r="C14" t="str">
            <v>Bossier</v>
          </cell>
          <cell r="D14">
            <v>-70836</v>
          </cell>
          <cell r="E14">
            <v>11806</v>
          </cell>
          <cell r="F14">
            <v>-46466</v>
          </cell>
          <cell r="G14">
            <v>47472</v>
          </cell>
          <cell r="H14">
            <v>0</v>
          </cell>
          <cell r="I14">
            <v>-58024</v>
          </cell>
          <cell r="J14"/>
          <cell r="K14"/>
          <cell r="L14"/>
          <cell r="M14"/>
          <cell r="N14"/>
          <cell r="O14"/>
        </row>
        <row r="15">
          <cell r="A15">
            <v>9</v>
          </cell>
          <cell r="B15"/>
          <cell r="C15" t="str">
            <v>Caddo</v>
          </cell>
          <cell r="D15">
            <v>-193795</v>
          </cell>
          <cell r="E15">
            <v>22148</v>
          </cell>
          <cell r="F15">
            <v>-98224</v>
          </cell>
          <cell r="G15">
            <v>150336</v>
          </cell>
          <cell r="H15">
            <v>0</v>
          </cell>
          <cell r="I15">
            <v>-119535</v>
          </cell>
          <cell r="J15"/>
          <cell r="K15"/>
          <cell r="L15"/>
          <cell r="M15"/>
          <cell r="N15"/>
          <cell r="O15"/>
        </row>
        <row r="16">
          <cell r="A16">
            <v>10</v>
          </cell>
          <cell r="B16"/>
          <cell r="C16" t="str">
            <v>Calcasieu</v>
          </cell>
          <cell r="D16">
            <v>-40830</v>
          </cell>
          <cell r="E16">
            <v>-18374</v>
          </cell>
          <cell r="F16">
            <v>-70469</v>
          </cell>
          <cell r="G16">
            <v>82194</v>
          </cell>
          <cell r="H16">
            <v>0</v>
          </cell>
          <cell r="I16">
            <v>-47479</v>
          </cell>
          <cell r="J16"/>
          <cell r="K16"/>
          <cell r="L16"/>
          <cell r="M16"/>
          <cell r="N16"/>
          <cell r="O16"/>
        </row>
        <row r="17">
          <cell r="A17">
            <v>11</v>
          </cell>
          <cell r="B17"/>
          <cell r="C17" t="str">
            <v>Caldwell</v>
          </cell>
          <cell r="D17">
            <v>-7908</v>
          </cell>
          <cell r="E17">
            <v>0</v>
          </cell>
          <cell r="F17">
            <v>-10688</v>
          </cell>
          <cell r="G17">
            <v>7884</v>
          </cell>
          <cell r="H17">
            <v>0</v>
          </cell>
          <cell r="I17">
            <v>-10712</v>
          </cell>
          <cell r="J17"/>
          <cell r="K17"/>
          <cell r="L17"/>
          <cell r="M17"/>
          <cell r="N17"/>
          <cell r="O17"/>
        </row>
        <row r="18">
          <cell r="A18">
            <v>12</v>
          </cell>
          <cell r="B18"/>
          <cell r="C18" t="str">
            <v>Cameron</v>
          </cell>
          <cell r="D18">
            <v>0</v>
          </cell>
          <cell r="E18">
            <v>18090</v>
          </cell>
          <cell r="F18">
            <v>49443</v>
          </cell>
          <cell r="G18">
            <v>-37167</v>
          </cell>
          <cell r="H18">
            <v>0</v>
          </cell>
          <cell r="I18">
            <v>30366</v>
          </cell>
          <cell r="J18"/>
          <cell r="K18"/>
          <cell r="L18"/>
          <cell r="M18"/>
          <cell r="N18"/>
          <cell r="O18"/>
        </row>
        <row r="19">
          <cell r="A19">
            <v>13</v>
          </cell>
          <cell r="B19"/>
          <cell r="C19" t="str">
            <v>Catahoula</v>
          </cell>
          <cell r="D19">
            <v>-14994</v>
          </cell>
          <cell r="E19">
            <v>-14994</v>
          </cell>
          <cell r="F19">
            <v>-37819</v>
          </cell>
          <cell r="G19">
            <v>45594</v>
          </cell>
          <cell r="H19">
            <v>0</v>
          </cell>
          <cell r="I19">
            <v>-22213</v>
          </cell>
          <cell r="J19"/>
          <cell r="K19"/>
          <cell r="L19"/>
          <cell r="M19"/>
          <cell r="N19"/>
          <cell r="O19"/>
        </row>
        <row r="20">
          <cell r="A20">
            <v>14</v>
          </cell>
          <cell r="B20"/>
          <cell r="C20" t="str">
            <v>Claiborne</v>
          </cell>
          <cell r="D20">
            <v>-7241</v>
          </cell>
          <cell r="E20">
            <v>3621</v>
          </cell>
          <cell r="F20">
            <v>0</v>
          </cell>
          <cell r="G20">
            <v>0</v>
          </cell>
          <cell r="H20">
            <v>0</v>
          </cell>
          <cell r="I20">
            <v>-3620</v>
          </cell>
          <cell r="J20"/>
          <cell r="K20"/>
          <cell r="L20"/>
          <cell r="M20"/>
          <cell r="N20"/>
          <cell r="O20"/>
        </row>
        <row r="21">
          <cell r="A21">
            <v>15</v>
          </cell>
          <cell r="B21"/>
          <cell r="C21" t="str">
            <v>Concordia</v>
          </cell>
          <cell r="D21">
            <v>-27904</v>
          </cell>
          <cell r="E21">
            <v>0</v>
          </cell>
          <cell r="F21">
            <v>-33426</v>
          </cell>
          <cell r="G21">
            <v>27872</v>
          </cell>
          <cell r="H21">
            <v>0</v>
          </cell>
          <cell r="I21">
            <v>-33458</v>
          </cell>
          <cell r="J21"/>
          <cell r="K21"/>
          <cell r="L21"/>
          <cell r="M21"/>
          <cell r="N21"/>
          <cell r="O21"/>
        </row>
        <row r="22">
          <cell r="A22">
            <v>16</v>
          </cell>
          <cell r="B22"/>
          <cell r="C22" t="str">
            <v>DeSoto</v>
          </cell>
          <cell r="D22">
            <v>-5738</v>
          </cell>
          <cell r="E22">
            <v>-1435</v>
          </cell>
          <cell r="F22">
            <v>-6814</v>
          </cell>
          <cell r="G22">
            <v>7845</v>
          </cell>
          <cell r="H22">
            <v>0</v>
          </cell>
          <cell r="I22">
            <v>-6142</v>
          </cell>
          <cell r="J22"/>
          <cell r="K22"/>
          <cell r="L22"/>
          <cell r="M22"/>
          <cell r="N22"/>
          <cell r="O22"/>
        </row>
        <row r="23">
          <cell r="A23">
            <v>17</v>
          </cell>
          <cell r="B23"/>
          <cell r="C23" t="str">
            <v>East Baton Rouge</v>
          </cell>
          <cell r="D23">
            <v>-134752</v>
          </cell>
          <cell r="E23">
            <v>-21055</v>
          </cell>
          <cell r="F23">
            <v>-181041</v>
          </cell>
          <cell r="G23">
            <v>180852</v>
          </cell>
          <cell r="H23">
            <v>0</v>
          </cell>
          <cell r="I23">
            <v>-155996</v>
          </cell>
          <cell r="J23"/>
          <cell r="K23"/>
          <cell r="L23"/>
          <cell r="M23"/>
          <cell r="N23"/>
          <cell r="O23"/>
        </row>
        <row r="24">
          <cell r="A24">
            <v>18</v>
          </cell>
          <cell r="B24"/>
          <cell r="C24" t="str">
            <v>East Carroll</v>
          </cell>
          <cell r="D24">
            <v>-21630</v>
          </cell>
          <cell r="E24">
            <v>-14420</v>
          </cell>
          <cell r="F24">
            <v>-35099</v>
          </cell>
          <cell r="G24">
            <v>48881</v>
          </cell>
          <cell r="H24">
            <v>0</v>
          </cell>
          <cell r="I24">
            <v>-22268</v>
          </cell>
          <cell r="J24"/>
          <cell r="K24"/>
          <cell r="L24"/>
          <cell r="M24"/>
          <cell r="N24"/>
          <cell r="O24"/>
        </row>
        <row r="25">
          <cell r="A25">
            <v>19</v>
          </cell>
          <cell r="B25"/>
          <cell r="C25" t="str">
            <v>East Feliciana</v>
          </cell>
          <cell r="D25">
            <v>0</v>
          </cell>
          <cell r="E25">
            <v>0</v>
          </cell>
          <cell r="F25">
            <v>11233</v>
          </cell>
          <cell r="G25">
            <v>0</v>
          </cell>
          <cell r="H25">
            <v>0</v>
          </cell>
          <cell r="I25">
            <v>11233</v>
          </cell>
          <cell r="J25"/>
          <cell r="K25"/>
          <cell r="L25"/>
          <cell r="M25"/>
          <cell r="N25"/>
          <cell r="O25"/>
        </row>
        <row r="26">
          <cell r="A26">
            <v>20</v>
          </cell>
          <cell r="B26"/>
          <cell r="C26" t="str">
            <v>Evangeline</v>
          </cell>
          <cell r="D26">
            <v>-6299</v>
          </cell>
          <cell r="E26">
            <v>3150</v>
          </cell>
          <cell r="F26">
            <v>-5512</v>
          </cell>
          <cell r="G26">
            <v>0</v>
          </cell>
          <cell r="H26">
            <v>0</v>
          </cell>
          <cell r="I26">
            <v>-8661</v>
          </cell>
          <cell r="J26"/>
          <cell r="K26"/>
          <cell r="L26"/>
          <cell r="M26"/>
          <cell r="N26"/>
          <cell r="O26"/>
        </row>
        <row r="27">
          <cell r="A27">
            <v>21</v>
          </cell>
          <cell r="B27"/>
          <cell r="C27" t="str">
            <v>Franklin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/>
          <cell r="K27"/>
          <cell r="L27"/>
          <cell r="M27"/>
          <cell r="N27"/>
          <cell r="O27"/>
        </row>
        <row r="28">
          <cell r="A28">
            <v>22</v>
          </cell>
          <cell r="B28"/>
          <cell r="C28" t="str">
            <v>Grant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/>
          <cell r="K28"/>
          <cell r="L28"/>
          <cell r="M28"/>
          <cell r="N28"/>
          <cell r="O28"/>
        </row>
        <row r="29">
          <cell r="A29">
            <v>23</v>
          </cell>
          <cell r="B29"/>
          <cell r="C29" t="str">
            <v>Iberia</v>
          </cell>
          <cell r="D29">
            <v>-18372</v>
          </cell>
          <cell r="E29">
            <v>-33682</v>
          </cell>
          <cell r="F29">
            <v>-79554</v>
          </cell>
          <cell r="G29">
            <v>85246</v>
          </cell>
          <cell r="H29">
            <v>0</v>
          </cell>
          <cell r="I29">
            <v>-46362</v>
          </cell>
          <cell r="J29"/>
          <cell r="K29"/>
          <cell r="L29"/>
          <cell r="M29"/>
          <cell r="N29"/>
          <cell r="O29"/>
        </row>
        <row r="30">
          <cell r="A30">
            <v>24</v>
          </cell>
          <cell r="B30"/>
          <cell r="C30" t="str">
            <v>Iberville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/>
          <cell r="L30"/>
          <cell r="M30"/>
          <cell r="N30"/>
          <cell r="O30"/>
        </row>
        <row r="31">
          <cell r="A31">
            <v>25</v>
          </cell>
          <cell r="B31"/>
          <cell r="C31" t="str">
            <v>Jackson</v>
          </cell>
          <cell r="D31">
            <v>-10992</v>
          </cell>
          <cell r="E31">
            <v>5496</v>
          </cell>
          <cell r="F31">
            <v>0</v>
          </cell>
          <cell r="G31">
            <v>0</v>
          </cell>
          <cell r="H31">
            <v>0</v>
          </cell>
          <cell r="I31">
            <v>-5496</v>
          </cell>
          <cell r="J31"/>
          <cell r="K31"/>
          <cell r="L31"/>
          <cell r="M31"/>
          <cell r="N31"/>
          <cell r="O31"/>
        </row>
        <row r="32">
          <cell r="A32">
            <v>26</v>
          </cell>
          <cell r="B32"/>
          <cell r="C32" t="str">
            <v>Jefferson</v>
          </cell>
          <cell r="D32">
            <v>-279908</v>
          </cell>
          <cell r="E32">
            <v>55499</v>
          </cell>
          <cell r="F32">
            <v>-115628</v>
          </cell>
          <cell r="G32">
            <v>170415</v>
          </cell>
          <cell r="H32">
            <v>0</v>
          </cell>
          <cell r="I32">
            <v>-169622</v>
          </cell>
          <cell r="J32"/>
          <cell r="K32"/>
          <cell r="L32"/>
          <cell r="M32"/>
          <cell r="N32"/>
          <cell r="O32"/>
        </row>
        <row r="33">
          <cell r="A33">
            <v>27</v>
          </cell>
          <cell r="B33"/>
          <cell r="C33" t="str">
            <v>Jefferson Davis</v>
          </cell>
          <cell r="D33">
            <v>0</v>
          </cell>
          <cell r="E33">
            <v>3339</v>
          </cell>
          <cell r="F33">
            <v>9305</v>
          </cell>
          <cell r="G33">
            <v>-6709</v>
          </cell>
          <cell r="H33">
            <v>0</v>
          </cell>
          <cell r="I33">
            <v>5935</v>
          </cell>
          <cell r="J33"/>
          <cell r="K33"/>
          <cell r="L33"/>
          <cell r="M33"/>
          <cell r="N33"/>
          <cell r="O33"/>
        </row>
        <row r="34">
          <cell r="A34">
            <v>28</v>
          </cell>
          <cell r="B34"/>
          <cell r="C34" t="str">
            <v>Lafayette</v>
          </cell>
          <cell r="D34">
            <v>-64560</v>
          </cell>
          <cell r="E34">
            <v>-15064</v>
          </cell>
          <cell r="F34">
            <v>-93357</v>
          </cell>
          <cell r="G34">
            <v>96712</v>
          </cell>
          <cell r="H34">
            <v>0</v>
          </cell>
          <cell r="I34">
            <v>-76269</v>
          </cell>
          <cell r="J34"/>
          <cell r="K34"/>
          <cell r="L34"/>
          <cell r="M34"/>
          <cell r="N34"/>
          <cell r="O34"/>
        </row>
        <row r="35">
          <cell r="A35">
            <v>29</v>
          </cell>
          <cell r="B35"/>
          <cell r="C35" t="str">
            <v>Lafourche</v>
          </cell>
          <cell r="D35">
            <v>0</v>
          </cell>
          <cell r="E35">
            <v>-2584</v>
          </cell>
          <cell r="F35">
            <v>-4910</v>
          </cell>
          <cell r="G35">
            <v>5234</v>
          </cell>
          <cell r="H35">
            <v>0</v>
          </cell>
          <cell r="I35">
            <v>-2260</v>
          </cell>
          <cell r="J35"/>
          <cell r="K35"/>
          <cell r="L35"/>
          <cell r="M35"/>
          <cell r="N35"/>
          <cell r="O35"/>
        </row>
        <row r="36">
          <cell r="A36">
            <v>30</v>
          </cell>
          <cell r="B36"/>
          <cell r="C36" t="str">
            <v>LaSalle</v>
          </cell>
          <cell r="D36">
            <v>0</v>
          </cell>
          <cell r="E36">
            <v>-6848</v>
          </cell>
          <cell r="F36">
            <v>-11912</v>
          </cell>
          <cell r="G36">
            <v>13426</v>
          </cell>
          <cell r="H36">
            <v>0</v>
          </cell>
          <cell r="I36">
            <v>-5334</v>
          </cell>
          <cell r="J36"/>
          <cell r="K36"/>
          <cell r="L36"/>
          <cell r="M36"/>
          <cell r="N36"/>
          <cell r="O36"/>
        </row>
        <row r="37">
          <cell r="A37">
            <v>31</v>
          </cell>
          <cell r="B37"/>
          <cell r="C37" t="str">
            <v>Lincoln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/>
          <cell r="L37"/>
          <cell r="M37"/>
          <cell r="N37"/>
          <cell r="O37"/>
        </row>
        <row r="38">
          <cell r="A38">
            <v>32</v>
          </cell>
          <cell r="B38"/>
          <cell r="C38" t="str">
            <v>Livingston</v>
          </cell>
          <cell r="D38">
            <v>-142318</v>
          </cell>
          <cell r="E38">
            <v>45283</v>
          </cell>
          <cell r="F38">
            <v>-38294</v>
          </cell>
          <cell r="G38">
            <v>52608</v>
          </cell>
          <cell r="H38">
            <v>0</v>
          </cell>
          <cell r="I38">
            <v>-82721</v>
          </cell>
          <cell r="J38"/>
          <cell r="K38"/>
          <cell r="L38"/>
          <cell r="M38"/>
          <cell r="N38"/>
          <cell r="O38"/>
        </row>
        <row r="39">
          <cell r="A39">
            <v>33</v>
          </cell>
          <cell r="B39"/>
          <cell r="C39" t="str">
            <v>Madison</v>
          </cell>
          <cell r="D39">
            <v>-20226</v>
          </cell>
          <cell r="E39">
            <v>-26968</v>
          </cell>
          <cell r="F39">
            <v>-68477</v>
          </cell>
          <cell r="G39">
            <v>74173</v>
          </cell>
          <cell r="H39">
            <v>-22290</v>
          </cell>
          <cell r="I39">
            <v>-63788</v>
          </cell>
          <cell r="J39"/>
          <cell r="K39"/>
          <cell r="L39"/>
          <cell r="M39"/>
          <cell r="N39"/>
          <cell r="O39"/>
        </row>
        <row r="40">
          <cell r="A40">
            <v>34</v>
          </cell>
          <cell r="B40"/>
          <cell r="C40" t="str">
            <v>Morehouse</v>
          </cell>
          <cell r="D40">
            <v>-164059</v>
          </cell>
          <cell r="E40">
            <v>-14266</v>
          </cell>
          <cell r="F40">
            <v>-166374</v>
          </cell>
          <cell r="G40">
            <v>195183</v>
          </cell>
          <cell r="H40">
            <v>0</v>
          </cell>
          <cell r="I40">
            <v>-149516</v>
          </cell>
          <cell r="J40"/>
          <cell r="K40"/>
          <cell r="L40"/>
          <cell r="M40"/>
          <cell r="N40"/>
          <cell r="O40"/>
        </row>
        <row r="41">
          <cell r="A41">
            <v>35</v>
          </cell>
          <cell r="B41"/>
          <cell r="C41" t="str">
            <v>Natchitoches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/>
          <cell r="L41"/>
          <cell r="M41"/>
          <cell r="N41"/>
          <cell r="O41"/>
        </row>
        <row r="42">
          <cell r="A42">
            <v>36</v>
          </cell>
          <cell r="B42"/>
          <cell r="C42" t="str">
            <v>Orleans</v>
          </cell>
          <cell r="D42">
            <v>0</v>
          </cell>
          <cell r="E42">
            <v>-63162</v>
          </cell>
          <cell r="F42">
            <v>-113271</v>
          </cell>
          <cell r="G42">
            <v>124671</v>
          </cell>
          <cell r="H42">
            <v>0</v>
          </cell>
          <cell r="I42">
            <v>-51762</v>
          </cell>
          <cell r="J42"/>
          <cell r="K42"/>
          <cell r="L42"/>
          <cell r="M42"/>
          <cell r="N42"/>
          <cell r="O42"/>
        </row>
        <row r="43">
          <cell r="A43">
            <v>37</v>
          </cell>
          <cell r="B43"/>
          <cell r="C43" t="str">
            <v>Ouachita</v>
          </cell>
          <cell r="D43">
            <v>-45276</v>
          </cell>
          <cell r="E43">
            <v>-9702</v>
          </cell>
          <cell r="F43">
            <v>-27210</v>
          </cell>
          <cell r="G43">
            <v>64860</v>
          </cell>
          <cell r="H43">
            <v>0</v>
          </cell>
          <cell r="I43">
            <v>-17328</v>
          </cell>
          <cell r="J43"/>
          <cell r="K43"/>
          <cell r="L43"/>
          <cell r="M43"/>
          <cell r="N43"/>
          <cell r="O43"/>
        </row>
        <row r="44">
          <cell r="A44">
            <v>38</v>
          </cell>
          <cell r="B44"/>
          <cell r="C44" t="str">
            <v>Plaquemines</v>
          </cell>
          <cell r="D44">
            <v>0</v>
          </cell>
          <cell r="E44">
            <v>-2810</v>
          </cell>
          <cell r="F44">
            <v>-5620</v>
          </cell>
          <cell r="G44">
            <v>5644</v>
          </cell>
          <cell r="H44">
            <v>0</v>
          </cell>
          <cell r="I44">
            <v>-2786</v>
          </cell>
          <cell r="J44"/>
          <cell r="K44"/>
          <cell r="L44"/>
          <cell r="M44"/>
          <cell r="N44"/>
          <cell r="O44"/>
        </row>
        <row r="45">
          <cell r="A45">
            <v>39</v>
          </cell>
          <cell r="B45"/>
          <cell r="C45" t="str">
            <v>Pointe Coupee</v>
          </cell>
          <cell r="D45">
            <v>-3755</v>
          </cell>
          <cell r="E45">
            <v>-5633</v>
          </cell>
          <cell r="F45">
            <v>-16981</v>
          </cell>
          <cell r="G45">
            <v>14900</v>
          </cell>
          <cell r="H45">
            <v>0</v>
          </cell>
          <cell r="I45">
            <v>-11469</v>
          </cell>
          <cell r="J45"/>
          <cell r="K45"/>
          <cell r="L45"/>
          <cell r="M45"/>
          <cell r="N45"/>
          <cell r="O45"/>
        </row>
        <row r="46">
          <cell r="A46">
            <v>40</v>
          </cell>
          <cell r="B46"/>
          <cell r="C46" t="str">
            <v>Rapides</v>
          </cell>
          <cell r="D46">
            <v>-55071</v>
          </cell>
          <cell r="E46">
            <v>-48952</v>
          </cell>
          <cell r="F46">
            <v>-158796</v>
          </cell>
          <cell r="G46">
            <v>152550</v>
          </cell>
          <cell r="H46">
            <v>0</v>
          </cell>
          <cell r="I46">
            <v>-110269</v>
          </cell>
          <cell r="J46"/>
          <cell r="K46"/>
          <cell r="L46"/>
          <cell r="M46"/>
          <cell r="N46"/>
          <cell r="O46"/>
        </row>
        <row r="47">
          <cell r="A47">
            <v>41</v>
          </cell>
          <cell r="B47"/>
          <cell r="C47" t="str">
            <v>Red River</v>
          </cell>
          <cell r="D47">
            <v>-3792</v>
          </cell>
          <cell r="E47">
            <v>0</v>
          </cell>
          <cell r="F47">
            <v>1651</v>
          </cell>
          <cell r="G47">
            <v>3528</v>
          </cell>
          <cell r="H47">
            <v>0</v>
          </cell>
          <cell r="I47">
            <v>1387</v>
          </cell>
          <cell r="J47"/>
          <cell r="K47"/>
          <cell r="L47"/>
          <cell r="M47"/>
          <cell r="N47"/>
          <cell r="O47"/>
        </row>
        <row r="48">
          <cell r="A48">
            <v>42</v>
          </cell>
          <cell r="B48"/>
          <cell r="C48" t="str">
            <v>Richland</v>
          </cell>
          <cell r="D48">
            <v>0</v>
          </cell>
          <cell r="E48">
            <v>-2791</v>
          </cell>
          <cell r="F48">
            <v>-4892</v>
          </cell>
          <cell r="G48">
            <v>5757</v>
          </cell>
          <cell r="H48">
            <v>0</v>
          </cell>
          <cell r="I48">
            <v>-1926</v>
          </cell>
          <cell r="J48"/>
          <cell r="K48"/>
          <cell r="L48"/>
          <cell r="M48"/>
          <cell r="N48"/>
          <cell r="O48"/>
        </row>
        <row r="49">
          <cell r="A49">
            <v>43</v>
          </cell>
          <cell r="B49"/>
          <cell r="C49" t="str">
            <v>Sabine</v>
          </cell>
          <cell r="D49">
            <v>-6744</v>
          </cell>
          <cell r="E49">
            <v>-23604</v>
          </cell>
          <cell r="F49">
            <v>-48723</v>
          </cell>
          <cell r="G49">
            <v>51944</v>
          </cell>
          <cell r="H49">
            <v>0</v>
          </cell>
          <cell r="I49">
            <v>-27127</v>
          </cell>
          <cell r="J49"/>
          <cell r="K49"/>
          <cell r="L49"/>
          <cell r="M49"/>
          <cell r="N49"/>
          <cell r="O49"/>
        </row>
        <row r="50">
          <cell r="A50">
            <v>44</v>
          </cell>
          <cell r="B50"/>
          <cell r="C50" t="str">
            <v>St. Bernard</v>
          </cell>
          <cell r="D50">
            <v>-11798</v>
          </cell>
          <cell r="E50">
            <v>-5899</v>
          </cell>
          <cell r="F50">
            <v>-22012</v>
          </cell>
          <cell r="G50">
            <v>23964</v>
          </cell>
          <cell r="H50">
            <v>0</v>
          </cell>
          <cell r="I50">
            <v>-15745</v>
          </cell>
          <cell r="J50"/>
          <cell r="K50"/>
          <cell r="L50"/>
          <cell r="M50"/>
          <cell r="N50"/>
          <cell r="O50"/>
        </row>
        <row r="51">
          <cell r="A51">
            <v>45</v>
          </cell>
          <cell r="B51"/>
          <cell r="C51" t="str">
            <v>St. Charles</v>
          </cell>
          <cell r="D51">
            <v>-3180</v>
          </cell>
          <cell r="E51">
            <v>0</v>
          </cell>
          <cell r="F51">
            <v>-2531</v>
          </cell>
          <cell r="G51">
            <v>3060</v>
          </cell>
          <cell r="H51">
            <v>0</v>
          </cell>
          <cell r="I51">
            <v>-2651</v>
          </cell>
          <cell r="J51"/>
          <cell r="K51"/>
          <cell r="L51"/>
          <cell r="M51"/>
          <cell r="N51"/>
          <cell r="O51"/>
        </row>
        <row r="52">
          <cell r="A52">
            <v>46</v>
          </cell>
          <cell r="B52"/>
          <cell r="C52" t="str">
            <v>St. Helena</v>
          </cell>
          <cell r="D52">
            <v>-16290</v>
          </cell>
          <cell r="E52">
            <v>8145</v>
          </cell>
          <cell r="F52">
            <v>-741</v>
          </cell>
          <cell r="G52">
            <v>0</v>
          </cell>
          <cell r="H52">
            <v>0</v>
          </cell>
          <cell r="I52">
            <v>-8886</v>
          </cell>
          <cell r="J52"/>
          <cell r="K52"/>
          <cell r="L52"/>
          <cell r="M52"/>
          <cell r="N52"/>
          <cell r="O52"/>
        </row>
        <row r="53">
          <cell r="A53">
            <v>47</v>
          </cell>
          <cell r="B53"/>
          <cell r="C53" t="str">
            <v>St. James</v>
          </cell>
          <cell r="D53">
            <v>-13620</v>
          </cell>
          <cell r="E53">
            <v>1703</v>
          </cell>
          <cell r="F53">
            <v>-6110</v>
          </cell>
          <cell r="G53">
            <v>9060</v>
          </cell>
          <cell r="H53">
            <v>0</v>
          </cell>
          <cell r="I53">
            <v>-8967</v>
          </cell>
          <cell r="J53"/>
          <cell r="K53"/>
          <cell r="L53"/>
          <cell r="M53"/>
          <cell r="N53"/>
          <cell r="O53"/>
        </row>
        <row r="54">
          <cell r="A54">
            <v>48</v>
          </cell>
          <cell r="B54"/>
          <cell r="C54" t="str">
            <v>St. John the Baptist</v>
          </cell>
          <cell r="D54">
            <v>-63360</v>
          </cell>
          <cell r="E54">
            <v>13200</v>
          </cell>
          <cell r="F54">
            <v>-31888</v>
          </cell>
          <cell r="G54">
            <v>35861</v>
          </cell>
          <cell r="H54">
            <v>0</v>
          </cell>
          <cell r="I54">
            <v>-46187</v>
          </cell>
          <cell r="J54"/>
          <cell r="K54"/>
          <cell r="L54"/>
          <cell r="M54"/>
          <cell r="N54"/>
          <cell r="O54"/>
        </row>
        <row r="55">
          <cell r="A55">
            <v>49</v>
          </cell>
          <cell r="B55"/>
          <cell r="C55" t="str">
            <v>St. Landry</v>
          </cell>
          <cell r="D55">
            <v>-59400</v>
          </cell>
          <cell r="E55">
            <v>-14850</v>
          </cell>
          <cell r="F55">
            <v>-78159</v>
          </cell>
          <cell r="G55">
            <v>89655</v>
          </cell>
          <cell r="H55">
            <v>0</v>
          </cell>
          <cell r="I55">
            <v>-62754</v>
          </cell>
          <cell r="J55"/>
          <cell r="K55"/>
          <cell r="L55"/>
          <cell r="M55"/>
          <cell r="N55"/>
          <cell r="O55"/>
        </row>
        <row r="56">
          <cell r="A56">
            <v>50</v>
          </cell>
          <cell r="B56"/>
          <cell r="C56" t="str">
            <v>St. Martin</v>
          </cell>
          <cell r="D56">
            <v>-11650</v>
          </cell>
          <cell r="E56">
            <v>-37863</v>
          </cell>
          <cell r="F56">
            <v>-106923</v>
          </cell>
          <cell r="G56">
            <v>87345</v>
          </cell>
          <cell r="H56">
            <v>0</v>
          </cell>
          <cell r="I56">
            <v>-69091</v>
          </cell>
          <cell r="J56"/>
          <cell r="K56"/>
          <cell r="L56"/>
          <cell r="M56"/>
          <cell r="N56"/>
          <cell r="O56"/>
        </row>
        <row r="57">
          <cell r="A57">
            <v>51</v>
          </cell>
          <cell r="B57"/>
          <cell r="C57" t="str">
            <v>St. Mary</v>
          </cell>
          <cell r="D57">
            <v>-17916</v>
          </cell>
          <cell r="E57">
            <v>-17916</v>
          </cell>
          <cell r="F57">
            <v>-54652</v>
          </cell>
          <cell r="G57">
            <v>53289</v>
          </cell>
          <cell r="H57">
            <v>0</v>
          </cell>
          <cell r="I57">
            <v>-37195</v>
          </cell>
          <cell r="J57"/>
          <cell r="K57"/>
          <cell r="L57"/>
          <cell r="M57"/>
          <cell r="N57"/>
          <cell r="O57"/>
        </row>
        <row r="58">
          <cell r="A58">
            <v>52</v>
          </cell>
          <cell r="B58"/>
          <cell r="C58" t="str">
            <v>St. Tammany</v>
          </cell>
          <cell r="D58">
            <v>-151866</v>
          </cell>
          <cell r="E58">
            <v>32126</v>
          </cell>
          <cell r="F58">
            <v>-84260</v>
          </cell>
          <cell r="G58">
            <v>87810</v>
          </cell>
          <cell r="H58">
            <v>0</v>
          </cell>
          <cell r="I58">
            <v>-116190</v>
          </cell>
          <cell r="J58"/>
          <cell r="K58"/>
          <cell r="L58"/>
          <cell r="M58"/>
          <cell r="N58"/>
          <cell r="O58"/>
        </row>
        <row r="59">
          <cell r="A59">
            <v>53</v>
          </cell>
          <cell r="B59"/>
          <cell r="C59" t="str">
            <v>Tangipahoa</v>
          </cell>
          <cell r="D59">
            <v>0</v>
          </cell>
          <cell r="E59">
            <v>-2992</v>
          </cell>
          <cell r="F59">
            <v>-10126</v>
          </cell>
          <cell r="G59">
            <v>6091</v>
          </cell>
          <cell r="H59">
            <v>0</v>
          </cell>
          <cell r="I59">
            <v>-7027</v>
          </cell>
          <cell r="J59"/>
          <cell r="K59"/>
          <cell r="L59"/>
          <cell r="M59"/>
          <cell r="N59"/>
          <cell r="O59"/>
        </row>
        <row r="60">
          <cell r="A60">
            <v>54</v>
          </cell>
          <cell r="B60"/>
          <cell r="C60" t="str">
            <v>Tensas</v>
          </cell>
          <cell r="D60">
            <v>0</v>
          </cell>
          <cell r="E60">
            <v>-6607</v>
          </cell>
          <cell r="F60">
            <v>-5721</v>
          </cell>
          <cell r="G60">
            <v>12802</v>
          </cell>
          <cell r="H60">
            <v>0</v>
          </cell>
          <cell r="I60">
            <v>474</v>
          </cell>
          <cell r="J60"/>
          <cell r="K60"/>
          <cell r="L60"/>
          <cell r="M60"/>
          <cell r="N60"/>
          <cell r="O60"/>
        </row>
        <row r="61">
          <cell r="A61">
            <v>55</v>
          </cell>
          <cell r="B61"/>
          <cell r="C61" t="str">
            <v>Terrebonne</v>
          </cell>
          <cell r="D61">
            <v>-16662</v>
          </cell>
          <cell r="E61">
            <v>-11108</v>
          </cell>
          <cell r="F61">
            <v>-36254</v>
          </cell>
          <cell r="G61">
            <v>38969</v>
          </cell>
          <cell r="H61">
            <v>0</v>
          </cell>
          <cell r="I61">
            <v>-25055</v>
          </cell>
          <cell r="J61"/>
          <cell r="K61"/>
          <cell r="L61"/>
          <cell r="M61"/>
          <cell r="N61"/>
          <cell r="O61"/>
        </row>
        <row r="62">
          <cell r="A62">
            <v>56</v>
          </cell>
          <cell r="B62"/>
          <cell r="C62" t="str">
            <v>Union</v>
          </cell>
          <cell r="D62">
            <v>0</v>
          </cell>
          <cell r="E62">
            <v>-3539</v>
          </cell>
          <cell r="F62">
            <v>-5152</v>
          </cell>
          <cell r="G62">
            <v>7094</v>
          </cell>
          <cell r="H62">
            <v>0</v>
          </cell>
          <cell r="I62">
            <v>-1597</v>
          </cell>
          <cell r="J62"/>
          <cell r="K62"/>
          <cell r="L62"/>
          <cell r="M62"/>
          <cell r="N62"/>
          <cell r="O62"/>
        </row>
        <row r="63">
          <cell r="A63">
            <v>57</v>
          </cell>
          <cell r="B63"/>
          <cell r="C63" t="str">
            <v>Vermilion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/>
          <cell r="K63"/>
          <cell r="L63"/>
          <cell r="M63"/>
          <cell r="N63"/>
          <cell r="O63"/>
        </row>
        <row r="64">
          <cell r="A64">
            <v>58</v>
          </cell>
          <cell r="B64"/>
          <cell r="C64" t="str">
            <v>Vernon</v>
          </cell>
          <cell r="D64">
            <v>-6732</v>
          </cell>
          <cell r="E64">
            <v>-10098</v>
          </cell>
          <cell r="F64">
            <v>-21361</v>
          </cell>
          <cell r="G64">
            <v>27124</v>
          </cell>
          <cell r="H64">
            <v>0</v>
          </cell>
          <cell r="I64">
            <v>-11067</v>
          </cell>
          <cell r="J64"/>
          <cell r="K64"/>
          <cell r="L64"/>
          <cell r="M64"/>
          <cell r="N64"/>
          <cell r="O64"/>
        </row>
        <row r="65">
          <cell r="A65">
            <v>59</v>
          </cell>
          <cell r="B65"/>
          <cell r="C65" t="str">
            <v>Washington</v>
          </cell>
          <cell r="D65">
            <v>0</v>
          </cell>
          <cell r="E65">
            <v>-7322</v>
          </cell>
          <cell r="F65">
            <v>-16580</v>
          </cell>
          <cell r="G65">
            <v>14770</v>
          </cell>
          <cell r="H65">
            <v>0</v>
          </cell>
          <cell r="I65">
            <v>-9132</v>
          </cell>
          <cell r="J65"/>
          <cell r="K65"/>
          <cell r="L65"/>
          <cell r="M65"/>
          <cell r="N65"/>
          <cell r="O65"/>
        </row>
        <row r="66">
          <cell r="A66">
            <v>60</v>
          </cell>
          <cell r="B66"/>
          <cell r="C66" t="str">
            <v>Webster</v>
          </cell>
          <cell r="D66">
            <v>-18675</v>
          </cell>
          <cell r="E66">
            <v>-18675</v>
          </cell>
          <cell r="F66">
            <v>-45264</v>
          </cell>
          <cell r="G66">
            <v>57870</v>
          </cell>
          <cell r="H66">
            <v>0</v>
          </cell>
          <cell r="I66">
            <v>-24744</v>
          </cell>
          <cell r="J66"/>
          <cell r="K66"/>
          <cell r="L66"/>
          <cell r="M66"/>
          <cell r="N66"/>
          <cell r="O66"/>
        </row>
        <row r="67">
          <cell r="A67">
            <v>61</v>
          </cell>
          <cell r="B67"/>
          <cell r="C67" t="str">
            <v>West Baton Rouge</v>
          </cell>
          <cell r="D67">
            <v>-11331</v>
          </cell>
          <cell r="E67">
            <v>15108</v>
          </cell>
          <cell r="F67">
            <v>33986</v>
          </cell>
          <cell r="G67">
            <v>-19965</v>
          </cell>
          <cell r="H67">
            <v>0</v>
          </cell>
          <cell r="I67">
            <v>17798</v>
          </cell>
          <cell r="J67"/>
          <cell r="K67"/>
          <cell r="L67"/>
          <cell r="M67"/>
          <cell r="N67"/>
          <cell r="O67"/>
        </row>
        <row r="68">
          <cell r="A68">
            <v>62</v>
          </cell>
          <cell r="B68"/>
          <cell r="C68" t="str">
            <v>West Carroll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/>
          <cell r="L68"/>
          <cell r="M68"/>
          <cell r="N68"/>
          <cell r="O68"/>
        </row>
        <row r="69">
          <cell r="A69">
            <v>63</v>
          </cell>
          <cell r="B69"/>
          <cell r="C69" t="str">
            <v>West Feliciana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/>
          <cell r="L69"/>
          <cell r="M69"/>
          <cell r="N69"/>
          <cell r="O69"/>
        </row>
        <row r="70">
          <cell r="A70">
            <v>64</v>
          </cell>
          <cell r="B70"/>
          <cell r="C70" t="str">
            <v>Winn</v>
          </cell>
          <cell r="D70">
            <v>0</v>
          </cell>
          <cell r="E70">
            <v>-14244</v>
          </cell>
          <cell r="F70">
            <v>-23204</v>
          </cell>
          <cell r="G70">
            <v>28932</v>
          </cell>
          <cell r="H70">
            <v>0</v>
          </cell>
          <cell r="I70">
            <v>-8516</v>
          </cell>
          <cell r="J70"/>
          <cell r="K70"/>
          <cell r="L70"/>
          <cell r="M70"/>
          <cell r="N70"/>
          <cell r="O70"/>
        </row>
        <row r="71">
          <cell r="A71">
            <v>65</v>
          </cell>
          <cell r="B71"/>
          <cell r="C71" t="str">
            <v>City of Monroe</v>
          </cell>
          <cell r="D71">
            <v>-40649</v>
          </cell>
          <cell r="E71">
            <v>-11614</v>
          </cell>
          <cell r="F71">
            <v>-51271</v>
          </cell>
          <cell r="G71">
            <v>64240</v>
          </cell>
          <cell r="H71">
            <v>46373</v>
          </cell>
          <cell r="I71">
            <v>7079</v>
          </cell>
          <cell r="J71"/>
          <cell r="K71"/>
          <cell r="L71"/>
          <cell r="M71"/>
          <cell r="N71"/>
          <cell r="O71"/>
        </row>
        <row r="72">
          <cell r="A72">
            <v>66</v>
          </cell>
          <cell r="B72"/>
          <cell r="C72" t="str">
            <v>City of Bogalusa</v>
          </cell>
          <cell r="D72">
            <v>-15096</v>
          </cell>
          <cell r="E72">
            <v>3774</v>
          </cell>
          <cell r="F72">
            <v>-1335</v>
          </cell>
          <cell r="G72">
            <v>7228</v>
          </cell>
          <cell r="H72">
            <v>0</v>
          </cell>
          <cell r="I72">
            <v>-5429</v>
          </cell>
          <cell r="J72"/>
          <cell r="K72"/>
          <cell r="L72"/>
          <cell r="M72"/>
          <cell r="N72"/>
          <cell r="O72"/>
        </row>
        <row r="73">
          <cell r="A73">
            <v>67</v>
          </cell>
          <cell r="B73"/>
          <cell r="C73" t="str">
            <v>Zachary Community</v>
          </cell>
          <cell r="D73">
            <v>0</v>
          </cell>
          <cell r="E73">
            <v>2987</v>
          </cell>
          <cell r="F73">
            <v>9422</v>
          </cell>
          <cell r="G73">
            <v>-6126</v>
          </cell>
          <cell r="H73">
            <v>0</v>
          </cell>
          <cell r="I73">
            <v>6283</v>
          </cell>
          <cell r="J73"/>
          <cell r="K73"/>
          <cell r="L73"/>
          <cell r="M73"/>
          <cell r="N73"/>
          <cell r="O73"/>
        </row>
        <row r="74">
          <cell r="A74">
            <v>68</v>
          </cell>
          <cell r="B74"/>
          <cell r="C74" t="str">
            <v>City of Baker</v>
          </cell>
          <cell r="D74">
            <v>-53613</v>
          </cell>
          <cell r="E74">
            <v>0</v>
          </cell>
          <cell r="F74">
            <v>-44544</v>
          </cell>
          <cell r="G74">
            <v>54677</v>
          </cell>
          <cell r="H74">
            <v>0</v>
          </cell>
          <cell r="I74">
            <v>-43480</v>
          </cell>
          <cell r="J74"/>
          <cell r="K74"/>
          <cell r="L74"/>
          <cell r="M74"/>
          <cell r="N74"/>
          <cell r="O74"/>
        </row>
        <row r="75">
          <cell r="A75">
            <v>69</v>
          </cell>
          <cell r="B75"/>
          <cell r="C75" t="str">
            <v>Central Community</v>
          </cell>
          <cell r="D75">
            <v>0</v>
          </cell>
          <cell r="E75">
            <v>-3390</v>
          </cell>
          <cell r="F75">
            <v>-6169</v>
          </cell>
          <cell r="G75">
            <v>6784</v>
          </cell>
          <cell r="H75">
            <v>-309</v>
          </cell>
          <cell r="I75">
            <v>-3084</v>
          </cell>
          <cell r="J75"/>
          <cell r="K75"/>
          <cell r="L75"/>
          <cell r="M75"/>
          <cell r="N75"/>
          <cell r="O75"/>
        </row>
        <row r="76">
          <cell r="A76"/>
          <cell r="B76"/>
          <cell r="C76" t="str">
            <v>Total City/Parish</v>
          </cell>
          <cell r="D76">
            <v>-2440644</v>
          </cell>
          <cell r="E76">
            <v>40307</v>
          </cell>
          <cell r="F76">
            <v>-1954828</v>
          </cell>
          <cell r="G76">
            <v>2371769</v>
          </cell>
          <cell r="H76">
            <v>699</v>
          </cell>
          <cell r="I76">
            <v>-1982697</v>
          </cell>
          <cell r="J76">
            <v>0</v>
          </cell>
          <cell r="K76">
            <v>0</v>
          </cell>
          <cell r="L76"/>
          <cell r="M76"/>
          <cell r="N76"/>
          <cell r="O76">
            <v>0</v>
          </cell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</row>
        <row r="78">
          <cell r="A78">
            <v>341001</v>
          </cell>
          <cell r="B78"/>
          <cell r="C78" t="str">
            <v xml:space="preserve">D'Arbonne Woods 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/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/>
          <cell r="O78">
            <v>0</v>
          </cell>
        </row>
        <row r="79">
          <cell r="A79">
            <v>343001</v>
          </cell>
          <cell r="B79"/>
          <cell r="C79" t="str">
            <v>Madison Prep</v>
          </cell>
          <cell r="D79">
            <v>0</v>
          </cell>
          <cell r="E79">
            <v>2741</v>
          </cell>
          <cell r="F79">
            <v>5451</v>
          </cell>
          <cell r="G79">
            <v>-5451</v>
          </cell>
          <cell r="H79"/>
          <cell r="I79">
            <v>2741</v>
          </cell>
          <cell r="J79">
            <v>0</v>
          </cell>
          <cell r="K79">
            <v>1915</v>
          </cell>
          <cell r="L79">
            <v>3969</v>
          </cell>
          <cell r="M79">
            <v>-3969</v>
          </cell>
          <cell r="N79"/>
          <cell r="O79">
            <v>1915</v>
          </cell>
        </row>
        <row r="80">
          <cell r="A80">
            <v>344001</v>
          </cell>
          <cell r="B80"/>
          <cell r="C80" t="str">
            <v xml:space="preserve">Int'l High School of N. O. </v>
          </cell>
          <cell r="D80">
            <v>0</v>
          </cell>
          <cell r="E80">
            <v>-1695</v>
          </cell>
          <cell r="F80">
            <v>-3346</v>
          </cell>
          <cell r="G80">
            <v>3346</v>
          </cell>
          <cell r="H80"/>
          <cell r="I80">
            <v>-1695</v>
          </cell>
          <cell r="J80">
            <v>0</v>
          </cell>
          <cell r="K80">
            <v>-2851</v>
          </cell>
          <cell r="L80">
            <v>-5922</v>
          </cell>
          <cell r="M80">
            <v>5922</v>
          </cell>
          <cell r="N80"/>
          <cell r="O80">
            <v>-2851</v>
          </cell>
        </row>
        <row r="81">
          <cell r="A81">
            <v>345001</v>
          </cell>
          <cell r="B81"/>
          <cell r="C81" t="str">
            <v>University View Academy (90%)</v>
          </cell>
          <cell r="D81">
            <v>0</v>
          </cell>
          <cell r="E81">
            <v>-19752</v>
          </cell>
          <cell r="F81">
            <v>-39591</v>
          </cell>
          <cell r="G81">
            <v>39591</v>
          </cell>
          <cell r="H81"/>
          <cell r="I81">
            <v>-19752</v>
          </cell>
          <cell r="J81">
            <v>0</v>
          </cell>
          <cell r="K81">
            <v>-15532</v>
          </cell>
          <cell r="L81">
            <v>-32392</v>
          </cell>
          <cell r="M81">
            <v>32392</v>
          </cell>
          <cell r="N81"/>
          <cell r="O81">
            <v>-15532</v>
          </cell>
        </row>
        <row r="82">
          <cell r="A82">
            <v>346001</v>
          </cell>
          <cell r="B82"/>
          <cell r="C82" t="str">
            <v xml:space="preserve">Lake Charles Charter Academy 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/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/>
          <cell r="O82">
            <v>0</v>
          </cell>
        </row>
        <row r="83">
          <cell r="A83">
            <v>347001</v>
          </cell>
          <cell r="B83"/>
          <cell r="C83" t="str">
            <v>LFNO</v>
          </cell>
          <cell r="D83">
            <v>0</v>
          </cell>
          <cell r="E83">
            <v>5843</v>
          </cell>
          <cell r="F83">
            <v>11621</v>
          </cell>
          <cell r="G83">
            <v>-11621</v>
          </cell>
          <cell r="H83"/>
          <cell r="I83">
            <v>5843</v>
          </cell>
          <cell r="J83">
            <v>0</v>
          </cell>
          <cell r="K83">
            <v>5951</v>
          </cell>
          <cell r="L83">
            <v>12646</v>
          </cell>
          <cell r="M83">
            <v>-12646</v>
          </cell>
          <cell r="N83"/>
          <cell r="O83">
            <v>5951</v>
          </cell>
        </row>
        <row r="84">
          <cell r="A84">
            <v>348001</v>
          </cell>
          <cell r="B84"/>
          <cell r="C84" t="str">
            <v>New Orleans Military/Maritime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/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/>
          <cell r="O84">
            <v>0</v>
          </cell>
        </row>
        <row r="85">
          <cell r="A85" t="str">
            <v>W18001</v>
          </cell>
          <cell r="B85"/>
          <cell r="C85" t="str">
            <v>Noble Minds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/>
          <cell r="O85">
            <v>0</v>
          </cell>
        </row>
        <row r="86">
          <cell r="A86" t="str">
            <v>W1A001</v>
          </cell>
          <cell r="B86"/>
          <cell r="C86" t="str">
            <v>JCFA - East</v>
          </cell>
          <cell r="D86">
            <v>-3866</v>
          </cell>
          <cell r="E86">
            <v>-2175</v>
          </cell>
          <cell r="F86">
            <v>-8281</v>
          </cell>
          <cell r="G86">
            <v>8281</v>
          </cell>
          <cell r="H86"/>
          <cell r="I86">
            <v>-6041</v>
          </cell>
          <cell r="J86">
            <v>-5313</v>
          </cell>
          <cell r="K86">
            <v>-2657</v>
          </cell>
          <cell r="L86">
            <v>-12100</v>
          </cell>
          <cell r="M86">
            <v>12100</v>
          </cell>
          <cell r="N86"/>
          <cell r="O86">
            <v>-7970</v>
          </cell>
        </row>
        <row r="87">
          <cell r="A87" t="str">
            <v>W1B001</v>
          </cell>
          <cell r="B87"/>
          <cell r="C87" t="str">
            <v>Advantage Charter Academy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/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/>
          <cell r="O87">
            <v>0</v>
          </cell>
        </row>
        <row r="88">
          <cell r="A88" t="str">
            <v>W1D001</v>
          </cell>
          <cell r="B88"/>
          <cell r="C88" t="str">
            <v>JCFA - Lafayette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/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/>
          <cell r="O88">
            <v>0</v>
          </cell>
        </row>
        <row r="89">
          <cell r="A89" t="str">
            <v>W2B001</v>
          </cell>
          <cell r="B89"/>
          <cell r="C89" t="str">
            <v>Willow Charter Academy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/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/>
          <cell r="O89">
            <v>0</v>
          </cell>
        </row>
        <row r="90">
          <cell r="A90" t="str">
            <v>W33001</v>
          </cell>
          <cell r="B90"/>
          <cell r="C90" t="str">
            <v>Lincoln Prep School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/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/>
          <cell r="O90">
            <v>0</v>
          </cell>
        </row>
        <row r="91">
          <cell r="A91" t="str">
            <v>W3B001</v>
          </cell>
          <cell r="B91"/>
          <cell r="C91" t="str">
            <v>Iberville Charter Academy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/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/>
          <cell r="O91">
            <v>0</v>
          </cell>
        </row>
        <row r="92">
          <cell r="A92" t="str">
            <v>W4A001</v>
          </cell>
          <cell r="B92"/>
          <cell r="C92" t="str">
            <v xml:space="preserve">Delta Charter School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/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/>
          <cell r="O92">
            <v>0</v>
          </cell>
        </row>
        <row r="93">
          <cell r="A93" t="str">
            <v>W4B001</v>
          </cell>
          <cell r="B93"/>
          <cell r="C93" t="str">
            <v>Lake Charles College Prep</v>
          </cell>
          <cell r="D93">
            <v>0</v>
          </cell>
          <cell r="E93">
            <v>-5030</v>
          </cell>
          <cell r="F93">
            <v>-10621</v>
          </cell>
          <cell r="G93">
            <v>10621</v>
          </cell>
          <cell r="H93"/>
          <cell r="I93">
            <v>-5030</v>
          </cell>
          <cell r="J93">
            <v>0</v>
          </cell>
          <cell r="K93">
            <v>-10883</v>
          </cell>
          <cell r="L93">
            <v>-22722</v>
          </cell>
          <cell r="M93">
            <v>22722</v>
          </cell>
          <cell r="N93"/>
          <cell r="O93">
            <v>-10883</v>
          </cell>
        </row>
        <row r="94">
          <cell r="A94" t="str">
            <v>W5B001</v>
          </cell>
          <cell r="B94"/>
          <cell r="C94" t="str">
            <v>Northeast Claiborne Charter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/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/>
          <cell r="O94">
            <v>0</v>
          </cell>
        </row>
        <row r="95">
          <cell r="A95" t="str">
            <v>W6B001</v>
          </cell>
          <cell r="B95"/>
          <cell r="C95" t="str">
            <v>Acadiana Renaissance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/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/>
          <cell r="O95">
            <v>0</v>
          </cell>
        </row>
        <row r="96">
          <cell r="A96" t="str">
            <v>W7A001</v>
          </cell>
          <cell r="B96"/>
          <cell r="C96" t="str">
            <v xml:space="preserve">Louisiana Key Academy 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/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/>
          <cell r="O96">
            <v>0</v>
          </cell>
        </row>
        <row r="97">
          <cell r="A97" t="str">
            <v>W7B001</v>
          </cell>
          <cell r="B97"/>
          <cell r="C97" t="str">
            <v>Lafayette Renaissance</v>
          </cell>
          <cell r="D97">
            <v>0</v>
          </cell>
          <cell r="E97">
            <v>3548</v>
          </cell>
          <cell r="F97">
            <v>7236</v>
          </cell>
          <cell r="G97">
            <v>-7236</v>
          </cell>
          <cell r="H97"/>
          <cell r="I97">
            <v>3548</v>
          </cell>
          <cell r="J97">
            <v>0</v>
          </cell>
          <cell r="K97">
            <v>5787</v>
          </cell>
          <cell r="L97">
            <v>11408</v>
          </cell>
          <cell r="M97">
            <v>-11408</v>
          </cell>
          <cell r="N97"/>
          <cell r="O97">
            <v>5787</v>
          </cell>
        </row>
        <row r="98">
          <cell r="A98" t="str">
            <v>W8A001</v>
          </cell>
          <cell r="B98"/>
          <cell r="C98" t="str">
            <v>Impact Charter</v>
          </cell>
          <cell r="D98">
            <v>-3872</v>
          </cell>
          <cell r="E98">
            <v>0</v>
          </cell>
          <cell r="F98">
            <v>-3949</v>
          </cell>
          <cell r="G98">
            <v>3949</v>
          </cell>
          <cell r="H98"/>
          <cell r="I98">
            <v>-3872</v>
          </cell>
          <cell r="J98">
            <v>-7559</v>
          </cell>
          <cell r="K98">
            <v>0</v>
          </cell>
          <cell r="L98">
            <v>-7749</v>
          </cell>
          <cell r="M98">
            <v>7749</v>
          </cell>
          <cell r="N98"/>
          <cell r="O98">
            <v>-7559</v>
          </cell>
        </row>
        <row r="99">
          <cell r="A99" t="str">
            <v>WAG001</v>
          </cell>
          <cell r="B99"/>
          <cell r="C99" t="str">
            <v>LAVCA (90%)</v>
          </cell>
          <cell r="D99">
            <v>0</v>
          </cell>
          <cell r="E99">
            <v>-29678</v>
          </cell>
          <cell r="F99">
            <v>-59580</v>
          </cell>
          <cell r="G99">
            <v>59580</v>
          </cell>
          <cell r="H99"/>
          <cell r="I99">
            <v>-29678</v>
          </cell>
          <cell r="J99">
            <v>0</v>
          </cell>
          <cell r="K99">
            <v>-21778</v>
          </cell>
          <cell r="L99">
            <v>-45047</v>
          </cell>
          <cell r="M99">
            <v>45047</v>
          </cell>
          <cell r="N99"/>
          <cell r="O99">
            <v>-21778</v>
          </cell>
        </row>
        <row r="100">
          <cell r="A100" t="str">
            <v>WAK001</v>
          </cell>
          <cell r="B100"/>
          <cell r="C100" t="str">
            <v xml:space="preserve">Southwest LA Charter School 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/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/>
          <cell r="O100">
            <v>0</v>
          </cell>
        </row>
        <row r="101">
          <cell r="A101" t="str">
            <v>WAL001</v>
          </cell>
          <cell r="B101"/>
          <cell r="C101" t="str">
            <v xml:space="preserve">J. S. Clark Leadership Academy </v>
          </cell>
          <cell r="D101">
            <v>0</v>
          </cell>
          <cell r="E101">
            <v>4545</v>
          </cell>
          <cell r="F101">
            <v>9064</v>
          </cell>
          <cell r="G101">
            <v>-9064</v>
          </cell>
          <cell r="H101"/>
          <cell r="I101">
            <v>4545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/>
          <cell r="O101">
            <v>0</v>
          </cell>
        </row>
        <row r="102">
          <cell r="A102" t="str">
            <v>WAQ001</v>
          </cell>
          <cell r="B102"/>
          <cell r="C102" t="str">
            <v>Baton Rouge University Prep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/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/>
          <cell r="O102">
            <v>0</v>
          </cell>
        </row>
        <row r="103">
          <cell r="A103" t="str">
            <v>WAU001</v>
          </cell>
          <cell r="B103"/>
          <cell r="C103" t="str">
            <v>GEO Prep Academy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/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/>
          <cell r="O103">
            <v>0</v>
          </cell>
        </row>
        <row r="104">
          <cell r="A104" t="str">
            <v>WBQ001</v>
          </cell>
          <cell r="B104"/>
          <cell r="C104" t="str">
            <v>New Harmony High School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/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/>
          <cell r="O104">
            <v>0</v>
          </cell>
        </row>
        <row r="105">
          <cell r="A105" t="str">
            <v>WBR001</v>
          </cell>
          <cell r="B105"/>
          <cell r="C105" t="str">
            <v>Athlos Academy of Jefferson</v>
          </cell>
          <cell r="D105">
            <v>0</v>
          </cell>
          <cell r="E105">
            <v>1647</v>
          </cell>
          <cell r="F105">
            <v>3325</v>
          </cell>
          <cell r="G105">
            <v>-3325</v>
          </cell>
          <cell r="H105"/>
          <cell r="I105">
            <v>1647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/>
          <cell r="O105">
            <v>0</v>
          </cell>
        </row>
        <row r="106">
          <cell r="A106" t="str">
            <v>WBX001</v>
          </cell>
          <cell r="B106"/>
          <cell r="C106" t="str">
            <v>GEO Next Generation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/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/>
          <cell r="O106">
            <v>0</v>
          </cell>
        </row>
        <row r="107">
          <cell r="A107" t="str">
            <v>WBY001</v>
          </cell>
          <cell r="B107"/>
          <cell r="C107" t="str">
            <v>Red River Charter Academy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/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/>
          <cell r="O107">
            <v>0</v>
          </cell>
        </row>
        <row r="108">
          <cell r="A108" t="str">
            <v>WJ5001</v>
          </cell>
          <cell r="B108"/>
          <cell r="C108" t="str">
            <v>Collegiate Academies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/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/>
          <cell r="O108">
            <v>0</v>
          </cell>
        </row>
        <row r="109">
          <cell r="A109" t="str">
            <v>WZ8001</v>
          </cell>
          <cell r="B109"/>
          <cell r="C109" t="str">
            <v>GEO Prep Mid-City of Great BR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/>
          <cell r="O109">
            <v>0</v>
          </cell>
        </row>
        <row r="110">
          <cell r="A110"/>
          <cell r="B110"/>
          <cell r="C110" t="str">
            <v>Total New Type 2</v>
          </cell>
          <cell r="D110">
            <v>-7738</v>
          </cell>
          <cell r="E110">
            <v>-40006</v>
          </cell>
          <cell r="F110">
            <v>-88671</v>
          </cell>
          <cell r="G110">
            <v>88671</v>
          </cell>
          <cell r="H110">
            <v>0</v>
          </cell>
          <cell r="I110">
            <v>-47744</v>
          </cell>
          <cell r="J110">
            <v>-12872</v>
          </cell>
          <cell r="K110">
            <v>-40048</v>
          </cell>
          <cell r="L110">
            <v>-97909</v>
          </cell>
          <cell r="M110">
            <v>97909</v>
          </cell>
          <cell r="N110">
            <v>0</v>
          </cell>
          <cell r="O110">
            <v>-52920</v>
          </cell>
        </row>
        <row r="111">
          <cell r="A111"/>
          <cell r="B111"/>
          <cell r="C111"/>
          <cell r="D111"/>
          <cell r="E111"/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</row>
        <row r="112">
          <cell r="A112">
            <v>396211</v>
          </cell>
          <cell r="B112"/>
          <cell r="C112" t="str">
            <v>Linwood Charter (RSD Operated)</v>
          </cell>
          <cell r="D112">
            <v>0</v>
          </cell>
          <cell r="E112">
            <v>-2769</v>
          </cell>
          <cell r="F112">
            <v>3106</v>
          </cell>
          <cell r="G112">
            <v>5568</v>
          </cell>
          <cell r="H112"/>
          <cell r="I112">
            <v>5905</v>
          </cell>
          <cell r="J112">
            <v>0</v>
          </cell>
          <cell r="K112">
            <v>-2360</v>
          </cell>
          <cell r="L112">
            <v>-4945</v>
          </cell>
          <cell r="M112">
            <v>4945</v>
          </cell>
          <cell r="N112"/>
          <cell r="O112">
            <v>-2360</v>
          </cell>
        </row>
        <row r="113">
          <cell r="A113" t="str">
            <v>WA7001</v>
          </cell>
          <cell r="B113"/>
          <cell r="C113" t="str">
            <v>Capitol High Schl (RSD Operated)</v>
          </cell>
          <cell r="D113">
            <v>-8433</v>
          </cell>
          <cell r="E113">
            <v>0</v>
          </cell>
          <cell r="F113">
            <v>-4865</v>
          </cell>
          <cell r="G113">
            <v>8623</v>
          </cell>
          <cell r="H113"/>
          <cell r="I113">
            <v>-4675</v>
          </cell>
          <cell r="J113">
            <v>-13234</v>
          </cell>
          <cell r="K113">
            <v>0</v>
          </cell>
          <cell r="L113">
            <v>-13658</v>
          </cell>
          <cell r="M113">
            <v>13658</v>
          </cell>
          <cell r="N113"/>
          <cell r="O113">
            <v>-13234</v>
          </cell>
        </row>
        <row r="114">
          <cell r="A114" t="str">
            <v>WAO001</v>
          </cell>
          <cell r="B114"/>
          <cell r="C114" t="str">
            <v>Celerity Dalton Charter School</v>
          </cell>
          <cell r="D114">
            <v>-4217</v>
          </cell>
          <cell r="E114">
            <v>2108</v>
          </cell>
          <cell r="F114">
            <v>0</v>
          </cell>
          <cell r="G114">
            <v>0</v>
          </cell>
          <cell r="H114"/>
          <cell r="I114">
            <v>-2109</v>
          </cell>
          <cell r="J114">
            <v>-6617</v>
          </cell>
          <cell r="K114">
            <v>3309</v>
          </cell>
          <cell r="L114">
            <v>0</v>
          </cell>
          <cell r="M114">
            <v>0</v>
          </cell>
          <cell r="N114"/>
          <cell r="O114">
            <v>-3308</v>
          </cell>
        </row>
        <row r="115">
          <cell r="A115" t="str">
            <v>WAP001</v>
          </cell>
          <cell r="B115"/>
          <cell r="C115" t="str">
            <v>Celerity Lanier Charter School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/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/>
          <cell r="O115">
            <v>0</v>
          </cell>
        </row>
        <row r="116">
          <cell r="A116" t="str">
            <v>WAV001</v>
          </cell>
          <cell r="B116"/>
          <cell r="C116" t="str">
            <v>Democracy Prep</v>
          </cell>
          <cell r="D116">
            <v>0</v>
          </cell>
          <cell r="E116">
            <v>4217</v>
          </cell>
          <cell r="F116">
            <v>7009</v>
          </cell>
          <cell r="G116">
            <v>-8623</v>
          </cell>
          <cell r="H116"/>
          <cell r="I116">
            <v>2603</v>
          </cell>
          <cell r="J116">
            <v>0</v>
          </cell>
          <cell r="K116">
            <v>6617</v>
          </cell>
          <cell r="L116">
            <v>13658</v>
          </cell>
          <cell r="M116">
            <v>-13658</v>
          </cell>
          <cell r="N116"/>
          <cell r="O116">
            <v>6617</v>
          </cell>
        </row>
        <row r="117">
          <cell r="A117" t="str">
            <v>WYA001</v>
          </cell>
          <cell r="B117"/>
          <cell r="C117" t="str">
            <v>Redesign Glen Oaks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/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/>
          <cell r="O117">
            <v>0</v>
          </cell>
        </row>
        <row r="118">
          <cell r="A118" t="str">
            <v>WB2001</v>
          </cell>
          <cell r="B118"/>
          <cell r="C118" t="str">
            <v>Kenilworth Middle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/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/>
          <cell r="O118">
            <v>0</v>
          </cell>
        </row>
        <row r="119">
          <cell r="A119"/>
          <cell r="B119"/>
          <cell r="C119" t="str">
            <v>Total Type 5 Charters - LA</v>
          </cell>
          <cell r="D119">
            <v>-12650</v>
          </cell>
          <cell r="E119">
            <v>3556</v>
          </cell>
          <cell r="F119">
            <v>5250</v>
          </cell>
          <cell r="G119">
            <v>5568</v>
          </cell>
          <cell r="H119">
            <v>0</v>
          </cell>
          <cell r="I119">
            <v>1724</v>
          </cell>
          <cell r="J119">
            <v>-19851</v>
          </cell>
          <cell r="K119">
            <v>7566</v>
          </cell>
          <cell r="L119">
            <v>-4945</v>
          </cell>
          <cell r="M119">
            <v>4945</v>
          </cell>
          <cell r="N119">
            <v>0</v>
          </cell>
          <cell r="O119">
            <v>-12285</v>
          </cell>
        </row>
        <row r="120">
          <cell r="A120"/>
          <cell r="B120"/>
          <cell r="C120"/>
          <cell r="D120"/>
          <cell r="E120"/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</row>
        <row r="121">
          <cell r="A121"/>
          <cell r="B121"/>
          <cell r="C121" t="str">
            <v>Total Table 3</v>
          </cell>
          <cell r="D121">
            <v>-2461032</v>
          </cell>
          <cell r="E121">
            <v>3857</v>
          </cell>
          <cell r="F121">
            <v>-2038249</v>
          </cell>
          <cell r="G121">
            <v>2466008</v>
          </cell>
          <cell r="H121">
            <v>699</v>
          </cell>
          <cell r="I121">
            <v>-2028717</v>
          </cell>
          <cell r="J121">
            <v>-32723</v>
          </cell>
          <cell r="K121">
            <v>-32482</v>
          </cell>
          <cell r="L121">
            <v>-102854</v>
          </cell>
          <cell r="M121">
            <v>102854</v>
          </cell>
          <cell r="N121">
            <v>0</v>
          </cell>
          <cell r="O121">
            <v>-65205</v>
          </cell>
        </row>
        <row r="122">
          <cell r="A122"/>
          <cell r="B122"/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</row>
        <row r="123">
          <cell r="A123">
            <v>318</v>
          </cell>
          <cell r="B123"/>
          <cell r="C123" t="str">
            <v>LSU Lab School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/>
          <cell r="I123">
            <v>0</v>
          </cell>
          <cell r="J123"/>
          <cell r="K123"/>
          <cell r="L123"/>
          <cell r="M123"/>
          <cell r="N123"/>
          <cell r="O123"/>
        </row>
        <row r="124">
          <cell r="A124">
            <v>319</v>
          </cell>
          <cell r="B124"/>
          <cell r="C124" t="str">
            <v>Southern Lab School</v>
          </cell>
          <cell r="D124">
            <v>0</v>
          </cell>
          <cell r="E124">
            <v>-5362</v>
          </cell>
          <cell r="F124">
            <v>-10785</v>
          </cell>
          <cell r="G124">
            <v>10785</v>
          </cell>
          <cell r="H124"/>
          <cell r="I124">
            <v>-5362</v>
          </cell>
          <cell r="J124"/>
          <cell r="K124"/>
          <cell r="L124"/>
          <cell r="M124"/>
          <cell r="N124"/>
          <cell r="O124"/>
        </row>
        <row r="125">
          <cell r="A125">
            <v>302006</v>
          </cell>
          <cell r="B125"/>
          <cell r="C125" t="str">
            <v>LSMSA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/>
          <cell r="I125">
            <v>0</v>
          </cell>
          <cell r="J125"/>
          <cell r="K125"/>
          <cell r="L125"/>
          <cell r="M125"/>
          <cell r="N125"/>
          <cell r="O125"/>
        </row>
        <row r="126">
          <cell r="A126">
            <v>334001</v>
          </cell>
          <cell r="B126"/>
          <cell r="C126" t="str">
            <v>NOCCA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/>
          <cell r="I126">
            <v>0</v>
          </cell>
          <cell r="J126"/>
          <cell r="K126"/>
          <cell r="L126"/>
          <cell r="M126"/>
          <cell r="N126"/>
          <cell r="O126"/>
        </row>
        <row r="127">
          <cell r="A127" t="str">
            <v>3C1001</v>
          </cell>
          <cell r="B127"/>
          <cell r="C127" t="str">
            <v>Thrive</v>
          </cell>
          <cell r="D127">
            <v>0</v>
          </cell>
          <cell r="E127">
            <v>-4476</v>
          </cell>
          <cell r="F127">
            <v>-9009</v>
          </cell>
          <cell r="G127">
            <v>9009</v>
          </cell>
          <cell r="H127"/>
          <cell r="I127">
            <v>-4476</v>
          </cell>
          <cell r="J127"/>
          <cell r="K127"/>
          <cell r="L127"/>
          <cell r="M127"/>
          <cell r="N127"/>
          <cell r="O127"/>
        </row>
        <row r="128">
          <cell r="A128"/>
          <cell r="B128"/>
          <cell r="C128" t="str">
            <v>Total Lab &amp; State Approved</v>
          </cell>
          <cell r="D128">
            <v>0</v>
          </cell>
          <cell r="E128">
            <v>-9838</v>
          </cell>
          <cell r="F128">
            <v>-19794</v>
          </cell>
          <cell r="G128">
            <v>19794</v>
          </cell>
          <cell r="H128">
            <v>0</v>
          </cell>
          <cell r="I128">
            <v>-9838</v>
          </cell>
          <cell r="J128"/>
          <cell r="K128"/>
          <cell r="L128"/>
          <cell r="M128"/>
          <cell r="N128"/>
          <cell r="O128"/>
        </row>
        <row r="129">
          <cell r="A129"/>
          <cell r="B129"/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</row>
        <row r="130">
          <cell r="A130">
            <v>321001</v>
          </cell>
          <cell r="B130"/>
          <cell r="C130" t="str">
            <v>New Vision Learning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>
            <v>0</v>
          </cell>
          <cell r="J130"/>
          <cell r="K130"/>
          <cell r="L130"/>
          <cell r="M130"/>
          <cell r="N130"/>
          <cell r="O130"/>
        </row>
        <row r="131">
          <cell r="A131">
            <v>329001</v>
          </cell>
          <cell r="B131"/>
          <cell r="C131" t="str">
            <v>Glencoe Charter School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/>
          <cell r="I131">
            <v>0</v>
          </cell>
          <cell r="J131"/>
          <cell r="K131"/>
          <cell r="L131"/>
          <cell r="M131"/>
          <cell r="N131"/>
          <cell r="O131"/>
        </row>
        <row r="132">
          <cell r="A132">
            <v>331001</v>
          </cell>
          <cell r="B132"/>
          <cell r="C132" t="str">
            <v>International School of LA</v>
          </cell>
          <cell r="D132">
            <v>0</v>
          </cell>
          <cell r="E132">
            <v>-4763</v>
          </cell>
          <cell r="F132">
            <v>-9695</v>
          </cell>
          <cell r="G132">
            <v>9695</v>
          </cell>
          <cell r="H132"/>
          <cell r="I132">
            <v>-4763</v>
          </cell>
          <cell r="J132"/>
          <cell r="K132"/>
          <cell r="L132"/>
          <cell r="M132"/>
          <cell r="N132"/>
          <cell r="O132"/>
        </row>
        <row r="133">
          <cell r="A133">
            <v>333001</v>
          </cell>
          <cell r="B133"/>
          <cell r="C133" t="str">
            <v>Avoyelles Public Charter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/>
          <cell r="I133">
            <v>0</v>
          </cell>
          <cell r="J133"/>
          <cell r="K133"/>
          <cell r="L133"/>
          <cell r="M133"/>
          <cell r="N133"/>
          <cell r="O133"/>
        </row>
        <row r="134">
          <cell r="A134">
            <v>336001</v>
          </cell>
          <cell r="B134"/>
          <cell r="C134" t="str">
            <v>Delhi Charter School</v>
          </cell>
          <cell r="D134">
            <v>0</v>
          </cell>
          <cell r="E134">
            <v>-4787</v>
          </cell>
          <cell r="F134">
            <v>-9813</v>
          </cell>
          <cell r="G134">
            <v>9813</v>
          </cell>
          <cell r="H134"/>
          <cell r="I134">
            <v>-4787</v>
          </cell>
          <cell r="J134"/>
          <cell r="K134"/>
          <cell r="L134"/>
          <cell r="M134"/>
          <cell r="N134"/>
          <cell r="O134"/>
        </row>
        <row r="135">
          <cell r="A135">
            <v>337001</v>
          </cell>
          <cell r="B135"/>
          <cell r="C135" t="str">
            <v>Belle Chasse Academy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0</v>
          </cell>
          <cell r="J135"/>
          <cell r="K135"/>
          <cell r="L135"/>
          <cell r="M135"/>
          <cell r="N135"/>
          <cell r="O135"/>
        </row>
        <row r="136">
          <cell r="A136">
            <v>340001</v>
          </cell>
          <cell r="B136"/>
          <cell r="C136" t="str">
            <v>The MAX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/>
          <cell r="I136">
            <v>0</v>
          </cell>
          <cell r="J136"/>
          <cell r="K136"/>
          <cell r="L136"/>
          <cell r="M136"/>
          <cell r="N136"/>
          <cell r="O136"/>
        </row>
        <row r="137">
          <cell r="A137"/>
          <cell r="B137"/>
          <cell r="C137" t="str">
            <v>Total Legacy Type 2</v>
          </cell>
          <cell r="D137">
            <v>0</v>
          </cell>
          <cell r="E137">
            <v>-9550</v>
          </cell>
          <cell r="F137">
            <v>-19508</v>
          </cell>
          <cell r="G137">
            <v>19508</v>
          </cell>
          <cell r="H137">
            <v>0</v>
          </cell>
          <cell r="I137">
            <v>-9550</v>
          </cell>
          <cell r="J137"/>
          <cell r="K137"/>
          <cell r="L137"/>
          <cell r="M137"/>
          <cell r="N137"/>
          <cell r="O137"/>
        </row>
        <row r="138">
          <cell r="A138"/>
          <cell r="B138"/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</row>
        <row r="139">
          <cell r="A139"/>
          <cell r="B139"/>
          <cell r="C139" t="str">
            <v>Total Statewide</v>
          </cell>
          <cell r="D139">
            <v>-2461032</v>
          </cell>
          <cell r="E139">
            <v>-15531</v>
          </cell>
          <cell r="F139">
            <v>-2077551</v>
          </cell>
          <cell r="G139">
            <v>2505310</v>
          </cell>
          <cell r="H139">
            <v>699</v>
          </cell>
          <cell r="I139">
            <v>-2048105</v>
          </cell>
          <cell r="J139">
            <v>-32723</v>
          </cell>
          <cell r="K139">
            <v>-32482</v>
          </cell>
          <cell r="L139">
            <v>-102854</v>
          </cell>
          <cell r="M139">
            <v>102854</v>
          </cell>
          <cell r="N139">
            <v>0</v>
          </cell>
          <cell r="O139">
            <v>-65205</v>
          </cell>
        </row>
        <row r="140">
          <cell r="I140">
            <v>-2048105</v>
          </cell>
          <cell r="O140">
            <v>-65205</v>
          </cell>
        </row>
        <row r="141">
          <cell r="I141">
            <v>0</v>
          </cell>
          <cell r="O1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</sheetData>
      <sheetData sheetId="9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</sheetData>
      <sheetData sheetId="10"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-4476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OPSB"/>
    </sheetNames>
    <sheetDataSet>
      <sheetData sheetId="0">
        <row r="3">
          <cell r="A3">
            <v>1</v>
          </cell>
          <cell r="B3"/>
          <cell r="C3" t="str">
            <v>Acadia</v>
          </cell>
          <cell r="D3"/>
          <cell r="E3"/>
          <cell r="F3"/>
          <cell r="G3">
            <v>0</v>
          </cell>
        </row>
        <row r="4">
          <cell r="A4">
            <v>2</v>
          </cell>
          <cell r="B4"/>
          <cell r="C4" t="str">
            <v>Allen</v>
          </cell>
          <cell r="D4"/>
          <cell r="E4"/>
          <cell r="F4"/>
          <cell r="G4">
            <v>0</v>
          </cell>
        </row>
        <row r="5">
          <cell r="A5">
            <v>3</v>
          </cell>
          <cell r="B5"/>
          <cell r="C5" t="str">
            <v>Ascension</v>
          </cell>
          <cell r="D5"/>
          <cell r="E5"/>
          <cell r="F5"/>
          <cell r="G5">
            <v>0</v>
          </cell>
        </row>
        <row r="6">
          <cell r="A6">
            <v>4</v>
          </cell>
          <cell r="B6"/>
          <cell r="C6" t="str">
            <v>Assumption</v>
          </cell>
          <cell r="D6">
            <v>1</v>
          </cell>
          <cell r="E6"/>
          <cell r="F6"/>
          <cell r="G6">
            <v>1</v>
          </cell>
        </row>
        <row r="7">
          <cell r="A7">
            <v>5</v>
          </cell>
          <cell r="B7"/>
          <cell r="C7" t="str">
            <v>Avoyelles</v>
          </cell>
          <cell r="D7"/>
          <cell r="E7"/>
          <cell r="F7"/>
          <cell r="G7">
            <v>0</v>
          </cell>
        </row>
        <row r="8">
          <cell r="A8">
            <v>6</v>
          </cell>
          <cell r="B8"/>
          <cell r="C8" t="str">
            <v>Beauregard</v>
          </cell>
          <cell r="D8"/>
          <cell r="E8"/>
          <cell r="F8"/>
          <cell r="G8">
            <v>0</v>
          </cell>
        </row>
        <row r="9">
          <cell r="A9">
            <v>7</v>
          </cell>
          <cell r="B9"/>
          <cell r="C9" t="str">
            <v>Bienville</v>
          </cell>
          <cell r="D9"/>
          <cell r="E9"/>
          <cell r="F9"/>
          <cell r="G9">
            <v>0</v>
          </cell>
        </row>
        <row r="10">
          <cell r="A10">
            <v>8</v>
          </cell>
          <cell r="B10"/>
          <cell r="C10" t="str">
            <v>Bossier</v>
          </cell>
          <cell r="D10"/>
          <cell r="E10">
            <v>5</v>
          </cell>
          <cell r="F10"/>
          <cell r="G10">
            <v>5</v>
          </cell>
        </row>
        <row r="11">
          <cell r="A11">
            <v>9</v>
          </cell>
          <cell r="B11"/>
          <cell r="C11" t="str">
            <v>Caddo</v>
          </cell>
          <cell r="D11">
            <v>1</v>
          </cell>
          <cell r="E11">
            <v>9</v>
          </cell>
          <cell r="F11"/>
          <cell r="G11">
            <v>10</v>
          </cell>
        </row>
        <row r="12">
          <cell r="A12">
            <v>10</v>
          </cell>
          <cell r="B12"/>
          <cell r="C12" t="str">
            <v>Calcasieu</v>
          </cell>
          <cell r="D12">
            <v>13</v>
          </cell>
          <cell r="E12">
            <v>16</v>
          </cell>
          <cell r="F12"/>
          <cell r="G12">
            <v>29</v>
          </cell>
        </row>
        <row r="13">
          <cell r="A13">
            <v>11</v>
          </cell>
          <cell r="B13"/>
          <cell r="C13" t="str">
            <v>Caldwell</v>
          </cell>
          <cell r="D13"/>
          <cell r="E13"/>
          <cell r="F13"/>
          <cell r="G13">
            <v>0</v>
          </cell>
        </row>
        <row r="14">
          <cell r="A14">
            <v>12</v>
          </cell>
          <cell r="B14"/>
          <cell r="C14" t="str">
            <v>Cameron</v>
          </cell>
          <cell r="D14"/>
          <cell r="E14"/>
          <cell r="F14"/>
          <cell r="G14">
            <v>0</v>
          </cell>
        </row>
        <row r="15">
          <cell r="A15">
            <v>13</v>
          </cell>
          <cell r="B15"/>
          <cell r="C15" t="str">
            <v>Catahoula</v>
          </cell>
          <cell r="D15"/>
          <cell r="E15"/>
          <cell r="F15"/>
          <cell r="G15">
            <v>0</v>
          </cell>
        </row>
        <row r="16">
          <cell r="A16">
            <v>14</v>
          </cell>
          <cell r="B16"/>
          <cell r="C16" t="str">
            <v>Claiborne</v>
          </cell>
          <cell r="D16"/>
          <cell r="E16"/>
          <cell r="F16"/>
          <cell r="G16">
            <v>0</v>
          </cell>
        </row>
        <row r="17">
          <cell r="A17">
            <v>15</v>
          </cell>
          <cell r="B17"/>
          <cell r="C17" t="str">
            <v>Concordia</v>
          </cell>
          <cell r="D17"/>
          <cell r="E17"/>
          <cell r="F17"/>
          <cell r="G17">
            <v>0</v>
          </cell>
        </row>
        <row r="18">
          <cell r="A18">
            <v>16</v>
          </cell>
          <cell r="B18"/>
          <cell r="C18" t="str">
            <v>DeSoto</v>
          </cell>
          <cell r="D18"/>
          <cell r="E18"/>
          <cell r="F18"/>
          <cell r="G18">
            <v>0</v>
          </cell>
        </row>
        <row r="19">
          <cell r="A19">
            <v>17</v>
          </cell>
          <cell r="B19"/>
          <cell r="C19" t="str">
            <v>East Baton Rouge</v>
          </cell>
          <cell r="D19">
            <v>6</v>
          </cell>
          <cell r="E19">
            <v>13</v>
          </cell>
          <cell r="F19"/>
          <cell r="G19">
            <v>19</v>
          </cell>
        </row>
        <row r="20">
          <cell r="A20">
            <v>18</v>
          </cell>
          <cell r="B20"/>
          <cell r="C20" t="str">
            <v>East Carroll</v>
          </cell>
          <cell r="D20"/>
          <cell r="E20">
            <v>2</v>
          </cell>
          <cell r="F20"/>
          <cell r="G20">
            <v>2</v>
          </cell>
        </row>
        <row r="21">
          <cell r="A21">
            <v>19</v>
          </cell>
          <cell r="B21"/>
          <cell r="C21" t="str">
            <v>East Feliciana</v>
          </cell>
          <cell r="D21"/>
          <cell r="E21"/>
          <cell r="F21"/>
          <cell r="G21">
            <v>0</v>
          </cell>
        </row>
        <row r="22">
          <cell r="A22">
            <v>20</v>
          </cell>
          <cell r="B22"/>
          <cell r="C22" t="str">
            <v>Evangeline</v>
          </cell>
          <cell r="D22">
            <v>8</v>
          </cell>
          <cell r="E22"/>
          <cell r="F22"/>
          <cell r="G22">
            <v>8</v>
          </cell>
        </row>
        <row r="23">
          <cell r="A23">
            <v>21</v>
          </cell>
          <cell r="B23"/>
          <cell r="C23" t="str">
            <v>Franklin</v>
          </cell>
          <cell r="D23"/>
          <cell r="E23"/>
          <cell r="F23"/>
          <cell r="G23">
            <v>0</v>
          </cell>
        </row>
        <row r="24">
          <cell r="A24">
            <v>22</v>
          </cell>
          <cell r="B24"/>
          <cell r="C24" t="str">
            <v>Grant</v>
          </cell>
          <cell r="D24"/>
          <cell r="E24"/>
          <cell r="F24"/>
          <cell r="G24">
            <v>0</v>
          </cell>
        </row>
        <row r="25">
          <cell r="A25">
            <v>23</v>
          </cell>
          <cell r="B25"/>
          <cell r="C25" t="str">
            <v>Iberia</v>
          </cell>
          <cell r="D25">
            <v>10</v>
          </cell>
          <cell r="E25"/>
          <cell r="F25"/>
          <cell r="G25">
            <v>10</v>
          </cell>
        </row>
        <row r="26">
          <cell r="A26">
            <v>24</v>
          </cell>
          <cell r="B26"/>
          <cell r="C26" t="str">
            <v>Iberville</v>
          </cell>
          <cell r="D26"/>
          <cell r="E26"/>
          <cell r="F26"/>
          <cell r="G26">
            <v>0</v>
          </cell>
        </row>
        <row r="27">
          <cell r="A27">
            <v>25</v>
          </cell>
          <cell r="B27"/>
          <cell r="C27" t="str">
            <v>Jackson</v>
          </cell>
          <cell r="D27"/>
          <cell r="E27"/>
          <cell r="F27"/>
          <cell r="G27">
            <v>0</v>
          </cell>
        </row>
        <row r="28">
          <cell r="A28">
            <v>26</v>
          </cell>
          <cell r="B28"/>
          <cell r="C28" t="str">
            <v>Jefferson</v>
          </cell>
          <cell r="D28">
            <v>2</v>
          </cell>
          <cell r="E28">
            <v>15</v>
          </cell>
          <cell r="F28"/>
          <cell r="G28">
            <v>17</v>
          </cell>
        </row>
        <row r="29">
          <cell r="A29">
            <v>27</v>
          </cell>
          <cell r="B29"/>
          <cell r="C29" t="str">
            <v>Jefferson Davis</v>
          </cell>
          <cell r="D29"/>
          <cell r="E29"/>
          <cell r="F29"/>
          <cell r="G29">
            <v>0</v>
          </cell>
        </row>
        <row r="30">
          <cell r="A30">
            <v>28</v>
          </cell>
          <cell r="B30"/>
          <cell r="C30" t="str">
            <v>Lafayette</v>
          </cell>
          <cell r="D30">
            <v>18</v>
          </cell>
          <cell r="E30">
            <v>7</v>
          </cell>
          <cell r="F30">
            <v>1</v>
          </cell>
          <cell r="G30">
            <v>26</v>
          </cell>
        </row>
        <row r="31">
          <cell r="A31">
            <v>29</v>
          </cell>
          <cell r="B31"/>
          <cell r="C31" t="str">
            <v>Lafourche</v>
          </cell>
          <cell r="D31">
            <v>15</v>
          </cell>
          <cell r="E31"/>
          <cell r="F31"/>
          <cell r="G31">
            <v>15</v>
          </cell>
        </row>
        <row r="32">
          <cell r="A32">
            <v>30</v>
          </cell>
          <cell r="B32"/>
          <cell r="C32" t="str">
            <v>LaSalle</v>
          </cell>
          <cell r="D32"/>
          <cell r="E32"/>
          <cell r="F32"/>
          <cell r="G32">
            <v>0</v>
          </cell>
        </row>
        <row r="33">
          <cell r="A33">
            <v>31</v>
          </cell>
          <cell r="B33"/>
          <cell r="C33" t="str">
            <v>Lincoln</v>
          </cell>
          <cell r="D33">
            <v>2</v>
          </cell>
          <cell r="E33"/>
          <cell r="F33"/>
          <cell r="G33">
            <v>2</v>
          </cell>
        </row>
        <row r="34">
          <cell r="A34">
            <v>32</v>
          </cell>
          <cell r="B34"/>
          <cell r="C34" t="str">
            <v>Livingston</v>
          </cell>
          <cell r="D34"/>
          <cell r="E34"/>
          <cell r="F34"/>
          <cell r="G34">
            <v>0</v>
          </cell>
        </row>
        <row r="35">
          <cell r="A35">
            <v>33</v>
          </cell>
          <cell r="B35"/>
          <cell r="C35" t="str">
            <v>Madison</v>
          </cell>
          <cell r="D35"/>
          <cell r="E35"/>
          <cell r="F35"/>
          <cell r="G35">
            <v>0</v>
          </cell>
        </row>
        <row r="36">
          <cell r="A36">
            <v>34</v>
          </cell>
          <cell r="B36"/>
          <cell r="C36" t="str">
            <v>Morehouse</v>
          </cell>
          <cell r="D36"/>
          <cell r="E36"/>
          <cell r="F36"/>
          <cell r="G36">
            <v>0</v>
          </cell>
        </row>
        <row r="37">
          <cell r="A37">
            <v>35</v>
          </cell>
          <cell r="B37"/>
          <cell r="C37" t="str">
            <v>Natchitoches</v>
          </cell>
          <cell r="D37"/>
          <cell r="E37"/>
          <cell r="F37"/>
          <cell r="G37">
            <v>0</v>
          </cell>
        </row>
        <row r="38">
          <cell r="A38">
            <v>36</v>
          </cell>
          <cell r="B38"/>
          <cell r="C38" t="str">
            <v>Orleans (See OPSB Tab)</v>
          </cell>
          <cell r="D38">
            <v>24</v>
          </cell>
          <cell r="E38">
            <v>1</v>
          </cell>
          <cell r="F38">
            <v>0</v>
          </cell>
          <cell r="G38">
            <v>25</v>
          </cell>
        </row>
        <row r="39">
          <cell r="A39">
            <v>37</v>
          </cell>
          <cell r="B39"/>
          <cell r="C39" t="str">
            <v>Ouachita</v>
          </cell>
          <cell r="D39"/>
          <cell r="E39"/>
          <cell r="F39"/>
          <cell r="G39">
            <v>0</v>
          </cell>
        </row>
        <row r="40">
          <cell r="A40">
            <v>38</v>
          </cell>
          <cell r="B40"/>
          <cell r="C40" t="str">
            <v>Plaquemines</v>
          </cell>
          <cell r="D40"/>
          <cell r="E40"/>
          <cell r="F40"/>
          <cell r="G40">
            <v>0</v>
          </cell>
        </row>
        <row r="41">
          <cell r="A41">
            <v>39</v>
          </cell>
          <cell r="B41"/>
          <cell r="C41" t="str">
            <v>Pointe Coupee</v>
          </cell>
          <cell r="D41">
            <v>4</v>
          </cell>
          <cell r="E41"/>
          <cell r="F41"/>
          <cell r="G41">
            <v>4</v>
          </cell>
        </row>
        <row r="42">
          <cell r="A42">
            <v>40</v>
          </cell>
          <cell r="B42"/>
          <cell r="C42" t="str">
            <v>Rapides</v>
          </cell>
          <cell r="D42"/>
          <cell r="E42"/>
          <cell r="F42"/>
          <cell r="G42">
            <v>0</v>
          </cell>
        </row>
        <row r="43">
          <cell r="A43">
            <v>41</v>
          </cell>
          <cell r="B43"/>
          <cell r="C43" t="str">
            <v>Red River</v>
          </cell>
          <cell r="D43"/>
          <cell r="E43"/>
          <cell r="F43"/>
          <cell r="G43">
            <v>0</v>
          </cell>
        </row>
        <row r="44">
          <cell r="A44">
            <v>42</v>
          </cell>
          <cell r="B44"/>
          <cell r="C44" t="str">
            <v>Richland</v>
          </cell>
          <cell r="D44"/>
          <cell r="E44"/>
          <cell r="F44"/>
          <cell r="G44">
            <v>0</v>
          </cell>
        </row>
        <row r="45">
          <cell r="A45">
            <v>43</v>
          </cell>
          <cell r="B45"/>
          <cell r="C45" t="str">
            <v>Sabine</v>
          </cell>
          <cell r="D45"/>
          <cell r="E45"/>
          <cell r="F45"/>
          <cell r="G45">
            <v>0</v>
          </cell>
        </row>
        <row r="46">
          <cell r="A46">
            <v>44</v>
          </cell>
          <cell r="B46"/>
          <cell r="C46" t="str">
            <v>St. Bernard</v>
          </cell>
          <cell r="D46"/>
          <cell r="E46"/>
          <cell r="F46"/>
          <cell r="G46">
            <v>0</v>
          </cell>
        </row>
        <row r="47">
          <cell r="A47">
            <v>45</v>
          </cell>
          <cell r="B47"/>
          <cell r="C47" t="str">
            <v>St. Charles</v>
          </cell>
          <cell r="D47"/>
          <cell r="E47"/>
          <cell r="F47"/>
          <cell r="G47">
            <v>0</v>
          </cell>
        </row>
        <row r="48">
          <cell r="A48">
            <v>46</v>
          </cell>
          <cell r="B48"/>
          <cell r="C48" t="str">
            <v>St. Helena</v>
          </cell>
          <cell r="D48"/>
          <cell r="E48"/>
          <cell r="F48"/>
          <cell r="G48">
            <v>0</v>
          </cell>
        </row>
        <row r="49">
          <cell r="A49">
            <v>47</v>
          </cell>
          <cell r="B49"/>
          <cell r="C49" t="str">
            <v>St. James</v>
          </cell>
          <cell r="D49"/>
          <cell r="E49"/>
          <cell r="F49"/>
          <cell r="G49">
            <v>0</v>
          </cell>
        </row>
        <row r="50">
          <cell r="A50">
            <v>48</v>
          </cell>
          <cell r="B50"/>
          <cell r="C50" t="str">
            <v>St. John the Baptist</v>
          </cell>
          <cell r="D50"/>
          <cell r="E50"/>
          <cell r="F50"/>
          <cell r="G50">
            <v>0</v>
          </cell>
        </row>
        <row r="51">
          <cell r="A51">
            <v>49</v>
          </cell>
          <cell r="B51"/>
          <cell r="C51" t="str">
            <v>St. Landry</v>
          </cell>
          <cell r="D51"/>
          <cell r="E51"/>
          <cell r="F51"/>
          <cell r="G51">
            <v>0</v>
          </cell>
        </row>
        <row r="52">
          <cell r="A52">
            <v>50</v>
          </cell>
          <cell r="B52"/>
          <cell r="C52" t="str">
            <v>St. Martin</v>
          </cell>
          <cell r="D52">
            <v>8</v>
          </cell>
          <cell r="E52"/>
          <cell r="F52"/>
          <cell r="G52">
            <v>8</v>
          </cell>
        </row>
        <row r="53">
          <cell r="A53">
            <v>51</v>
          </cell>
          <cell r="B53"/>
          <cell r="C53" t="str">
            <v>St. Mary</v>
          </cell>
          <cell r="D53"/>
          <cell r="E53"/>
          <cell r="F53"/>
          <cell r="G53">
            <v>0</v>
          </cell>
        </row>
        <row r="54">
          <cell r="A54">
            <v>52</v>
          </cell>
          <cell r="B54"/>
          <cell r="C54" t="str">
            <v>St. Tammany</v>
          </cell>
          <cell r="D54"/>
          <cell r="E54"/>
          <cell r="F54"/>
          <cell r="G54">
            <v>0</v>
          </cell>
        </row>
        <row r="55">
          <cell r="A55">
            <v>53</v>
          </cell>
          <cell r="B55"/>
          <cell r="C55" t="str">
            <v>Tangipahoa</v>
          </cell>
          <cell r="D55"/>
          <cell r="E55"/>
          <cell r="F55"/>
          <cell r="G55">
            <v>0</v>
          </cell>
        </row>
        <row r="56">
          <cell r="A56">
            <v>54</v>
          </cell>
          <cell r="B56"/>
          <cell r="C56" t="str">
            <v>Tensas</v>
          </cell>
          <cell r="D56"/>
          <cell r="E56"/>
          <cell r="F56"/>
          <cell r="G56">
            <v>0</v>
          </cell>
        </row>
        <row r="57">
          <cell r="A57">
            <v>55</v>
          </cell>
          <cell r="B57"/>
          <cell r="C57" t="str">
            <v>Terrebonne</v>
          </cell>
          <cell r="D57"/>
          <cell r="E57"/>
          <cell r="F57"/>
          <cell r="G57">
            <v>0</v>
          </cell>
        </row>
        <row r="58">
          <cell r="A58">
            <v>56</v>
          </cell>
          <cell r="B58"/>
          <cell r="C58" t="str">
            <v>Union</v>
          </cell>
          <cell r="D58"/>
          <cell r="E58"/>
          <cell r="F58"/>
          <cell r="G58">
            <v>0</v>
          </cell>
        </row>
        <row r="59">
          <cell r="A59">
            <v>57</v>
          </cell>
          <cell r="B59"/>
          <cell r="C59" t="str">
            <v>Vermilion</v>
          </cell>
          <cell r="D59">
            <v>2</v>
          </cell>
          <cell r="E59"/>
          <cell r="F59"/>
          <cell r="G59">
            <v>2</v>
          </cell>
        </row>
        <row r="60">
          <cell r="A60">
            <v>58</v>
          </cell>
          <cell r="B60"/>
          <cell r="C60" t="str">
            <v>Vernon</v>
          </cell>
          <cell r="D60"/>
          <cell r="E60"/>
          <cell r="F60"/>
          <cell r="G60">
            <v>0</v>
          </cell>
        </row>
        <row r="61">
          <cell r="A61">
            <v>59</v>
          </cell>
          <cell r="B61"/>
          <cell r="C61" t="str">
            <v>Washington</v>
          </cell>
          <cell r="D61"/>
          <cell r="E61"/>
          <cell r="F61"/>
          <cell r="G61">
            <v>0</v>
          </cell>
        </row>
        <row r="62">
          <cell r="A62">
            <v>60</v>
          </cell>
          <cell r="B62"/>
          <cell r="C62" t="str">
            <v>Webster</v>
          </cell>
          <cell r="D62"/>
          <cell r="E62"/>
          <cell r="F62"/>
          <cell r="G62">
            <v>0</v>
          </cell>
        </row>
        <row r="63">
          <cell r="A63">
            <v>61</v>
          </cell>
          <cell r="B63"/>
          <cell r="C63" t="str">
            <v>West Baton Rouge</v>
          </cell>
          <cell r="D63"/>
          <cell r="E63"/>
          <cell r="F63"/>
          <cell r="G63">
            <v>0</v>
          </cell>
        </row>
        <row r="64">
          <cell r="A64">
            <v>62</v>
          </cell>
          <cell r="B64"/>
          <cell r="C64" t="str">
            <v>West Carroll</v>
          </cell>
          <cell r="D64"/>
          <cell r="E64"/>
          <cell r="F64"/>
          <cell r="G64">
            <v>0</v>
          </cell>
        </row>
        <row r="65">
          <cell r="A65">
            <v>63</v>
          </cell>
          <cell r="B65"/>
          <cell r="C65" t="str">
            <v>West Feliciana</v>
          </cell>
          <cell r="D65"/>
          <cell r="E65"/>
          <cell r="F65"/>
          <cell r="G65">
            <v>0</v>
          </cell>
        </row>
        <row r="66">
          <cell r="A66">
            <v>64</v>
          </cell>
          <cell r="B66"/>
          <cell r="C66" t="str">
            <v>Winn</v>
          </cell>
          <cell r="D66"/>
          <cell r="E66"/>
          <cell r="F66"/>
          <cell r="G66">
            <v>0</v>
          </cell>
        </row>
        <row r="67">
          <cell r="A67">
            <v>65</v>
          </cell>
          <cell r="B67"/>
          <cell r="C67" t="str">
            <v>City of Monroe</v>
          </cell>
          <cell r="D67"/>
          <cell r="E67"/>
          <cell r="F67"/>
          <cell r="G67">
            <v>0</v>
          </cell>
        </row>
        <row r="68">
          <cell r="A68">
            <v>66</v>
          </cell>
          <cell r="B68"/>
          <cell r="C68" t="str">
            <v>City of Bogalusa</v>
          </cell>
          <cell r="D68"/>
          <cell r="E68"/>
          <cell r="F68"/>
          <cell r="G68">
            <v>0</v>
          </cell>
        </row>
        <row r="69">
          <cell r="A69">
            <v>67</v>
          </cell>
          <cell r="B69"/>
          <cell r="C69" t="str">
            <v>Zachary Community</v>
          </cell>
          <cell r="D69"/>
          <cell r="E69"/>
          <cell r="F69"/>
          <cell r="G69">
            <v>0</v>
          </cell>
        </row>
        <row r="70">
          <cell r="A70">
            <v>68</v>
          </cell>
          <cell r="B70"/>
          <cell r="C70" t="str">
            <v>City of Baker</v>
          </cell>
          <cell r="D70"/>
          <cell r="E70"/>
          <cell r="F70"/>
          <cell r="G70">
            <v>0</v>
          </cell>
        </row>
        <row r="71">
          <cell r="A71">
            <v>69</v>
          </cell>
          <cell r="B71"/>
          <cell r="C71" t="str">
            <v>Central Community</v>
          </cell>
          <cell r="D71"/>
          <cell r="E71"/>
          <cell r="F71"/>
          <cell r="G71">
            <v>0</v>
          </cell>
        </row>
        <row r="72">
          <cell r="A72"/>
          <cell r="B72"/>
          <cell r="C72" t="str">
            <v>Totals</v>
          </cell>
          <cell r="D72">
            <v>114</v>
          </cell>
          <cell r="E72">
            <v>68</v>
          </cell>
          <cell r="F72">
            <v>1</v>
          </cell>
          <cell r="G72">
            <v>183</v>
          </cell>
        </row>
        <row r="73">
          <cell r="A73"/>
          <cell r="B73"/>
          <cell r="C73"/>
          <cell r="D73"/>
          <cell r="E73"/>
          <cell r="F73"/>
          <cell r="G73"/>
        </row>
        <row r="74">
          <cell r="A74">
            <v>318</v>
          </cell>
          <cell r="B74">
            <v>318001</v>
          </cell>
          <cell r="C74" t="str">
            <v>LSU Lab School</v>
          </cell>
          <cell r="D74"/>
          <cell r="E74"/>
          <cell r="F74"/>
          <cell r="G74">
            <v>0</v>
          </cell>
        </row>
        <row r="75">
          <cell r="A75">
            <v>319</v>
          </cell>
          <cell r="B75">
            <v>319001</v>
          </cell>
          <cell r="C75" t="str">
            <v>Southern Lab School</v>
          </cell>
          <cell r="D75"/>
          <cell r="E75"/>
          <cell r="F75"/>
          <cell r="G75">
            <v>0</v>
          </cell>
        </row>
        <row r="76">
          <cell r="A76">
            <v>302006</v>
          </cell>
          <cell r="B76">
            <v>302006</v>
          </cell>
          <cell r="C76" t="str">
            <v>LA School for Math, Science and the Arts</v>
          </cell>
          <cell r="D76"/>
          <cell r="E76"/>
          <cell r="F76"/>
          <cell r="G76">
            <v>0</v>
          </cell>
        </row>
        <row r="77">
          <cell r="A77">
            <v>334001</v>
          </cell>
          <cell r="B77">
            <v>334001</v>
          </cell>
          <cell r="C77" t="str">
            <v>New Orleans Center for Creative Arts</v>
          </cell>
          <cell r="D77"/>
          <cell r="E77"/>
          <cell r="F77"/>
          <cell r="G77">
            <v>0</v>
          </cell>
        </row>
        <row r="78">
          <cell r="A78" t="str">
            <v>3C1001</v>
          </cell>
          <cell r="B78" t="str">
            <v>3C1001</v>
          </cell>
          <cell r="C78" t="str">
            <v>Thrive</v>
          </cell>
          <cell r="D78"/>
          <cell r="E78"/>
          <cell r="F78"/>
          <cell r="G78">
            <v>0</v>
          </cell>
        </row>
        <row r="79">
          <cell r="A79"/>
          <cell r="B79"/>
          <cell r="C79" t="str">
            <v>Total Lab &amp; State Approved Schools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/>
          <cell r="B80"/>
          <cell r="C80"/>
          <cell r="D80"/>
          <cell r="E80"/>
          <cell r="F80"/>
          <cell r="G80"/>
        </row>
        <row r="81">
          <cell r="A81">
            <v>321001</v>
          </cell>
          <cell r="B81">
            <v>321001</v>
          </cell>
          <cell r="C81" t="str">
            <v>New Vision Learning</v>
          </cell>
          <cell r="D81"/>
          <cell r="E81"/>
          <cell r="F81"/>
          <cell r="G81">
            <v>0</v>
          </cell>
        </row>
        <row r="82">
          <cell r="A82">
            <v>329001</v>
          </cell>
          <cell r="B82">
            <v>329001</v>
          </cell>
          <cell r="C82" t="str">
            <v>Glencoe Charter School</v>
          </cell>
          <cell r="D82"/>
          <cell r="E82"/>
          <cell r="F82"/>
          <cell r="G82">
            <v>0</v>
          </cell>
        </row>
        <row r="83">
          <cell r="A83">
            <v>331001</v>
          </cell>
          <cell r="B83">
            <v>331001</v>
          </cell>
          <cell r="C83" t="str">
            <v>International School of LA</v>
          </cell>
          <cell r="D83">
            <v>14</v>
          </cell>
          <cell r="E83">
            <v>6</v>
          </cell>
          <cell r="F83"/>
          <cell r="G83">
            <v>20</v>
          </cell>
        </row>
        <row r="84">
          <cell r="A84">
            <v>333001</v>
          </cell>
          <cell r="B84">
            <v>333001</v>
          </cell>
          <cell r="C84" t="str">
            <v>Avoyelles Public Charter School</v>
          </cell>
          <cell r="D84"/>
          <cell r="E84"/>
          <cell r="F84"/>
          <cell r="G84">
            <v>0</v>
          </cell>
        </row>
        <row r="85">
          <cell r="A85">
            <v>336001</v>
          </cell>
          <cell r="B85">
            <v>336001</v>
          </cell>
          <cell r="C85" t="str">
            <v>Delhi Charter School</v>
          </cell>
          <cell r="D85"/>
          <cell r="E85"/>
          <cell r="F85"/>
          <cell r="G85">
            <v>0</v>
          </cell>
        </row>
        <row r="86">
          <cell r="A86">
            <v>337001</v>
          </cell>
          <cell r="B86">
            <v>337001</v>
          </cell>
          <cell r="C86" t="str">
            <v>Belle Chasse Academy</v>
          </cell>
          <cell r="D86"/>
          <cell r="E86"/>
          <cell r="F86"/>
          <cell r="G86">
            <v>0</v>
          </cell>
        </row>
        <row r="87">
          <cell r="A87">
            <v>340001</v>
          </cell>
          <cell r="B87">
            <v>340001</v>
          </cell>
          <cell r="C87" t="str">
            <v>The MAX Charter School</v>
          </cell>
          <cell r="D87"/>
          <cell r="E87"/>
          <cell r="F87"/>
          <cell r="G87">
            <v>0</v>
          </cell>
        </row>
        <row r="88">
          <cell r="A88"/>
          <cell r="B88"/>
          <cell r="C88" t="str">
            <v>Total Legacy Type 2 Charter Schools</v>
          </cell>
          <cell r="D88">
            <v>14</v>
          </cell>
          <cell r="E88">
            <v>6</v>
          </cell>
          <cell r="F88">
            <v>0</v>
          </cell>
          <cell r="G88">
            <v>20</v>
          </cell>
        </row>
        <row r="89">
          <cell r="A89"/>
          <cell r="B89"/>
          <cell r="C89"/>
          <cell r="D89"/>
          <cell r="E89"/>
          <cell r="F89"/>
          <cell r="G89"/>
        </row>
        <row r="90">
          <cell r="A90">
            <v>341001</v>
          </cell>
          <cell r="B90">
            <v>341001</v>
          </cell>
          <cell r="C90" t="str">
            <v xml:space="preserve">D'Arbonne Woods </v>
          </cell>
          <cell r="D90"/>
          <cell r="E90"/>
          <cell r="F90"/>
          <cell r="G90">
            <v>0</v>
          </cell>
        </row>
        <row r="91">
          <cell r="A91">
            <v>343001</v>
          </cell>
          <cell r="B91">
            <v>343001</v>
          </cell>
          <cell r="C91" t="str">
            <v>Madison Prep</v>
          </cell>
          <cell r="D91"/>
          <cell r="E91"/>
          <cell r="F91"/>
          <cell r="G91">
            <v>0</v>
          </cell>
        </row>
        <row r="92">
          <cell r="A92">
            <v>344001</v>
          </cell>
          <cell r="B92">
            <v>344001</v>
          </cell>
          <cell r="C92" t="str">
            <v xml:space="preserve">Int'l High School of N. O. </v>
          </cell>
          <cell r="D92"/>
          <cell r="E92"/>
          <cell r="F92"/>
          <cell r="G92">
            <v>0</v>
          </cell>
        </row>
        <row r="93">
          <cell r="A93">
            <v>345001</v>
          </cell>
          <cell r="B93">
            <v>345001</v>
          </cell>
          <cell r="C93" t="str">
            <v>University View Academy</v>
          </cell>
          <cell r="D93"/>
          <cell r="E93"/>
          <cell r="F93"/>
          <cell r="G93">
            <v>0</v>
          </cell>
        </row>
        <row r="94">
          <cell r="A94">
            <v>346001</v>
          </cell>
          <cell r="B94">
            <v>346001</v>
          </cell>
          <cell r="C94" t="str">
            <v xml:space="preserve">Lake Charles Charter Academy </v>
          </cell>
          <cell r="D94"/>
          <cell r="E94"/>
          <cell r="F94"/>
          <cell r="G94">
            <v>0</v>
          </cell>
        </row>
        <row r="95">
          <cell r="A95">
            <v>347001</v>
          </cell>
          <cell r="B95">
            <v>347001</v>
          </cell>
          <cell r="C95" t="str">
            <v xml:space="preserve">Lycee Francois de la Nouvelle Orleans </v>
          </cell>
          <cell r="D95">
            <v>40</v>
          </cell>
          <cell r="E95">
            <v>2</v>
          </cell>
          <cell r="F95"/>
          <cell r="G95">
            <v>42</v>
          </cell>
        </row>
        <row r="96">
          <cell r="A96">
            <v>348001</v>
          </cell>
          <cell r="B96">
            <v>348001</v>
          </cell>
          <cell r="C96" t="str">
            <v xml:space="preserve">New Orleans Military/Maritime Acdmy </v>
          </cell>
          <cell r="D96"/>
          <cell r="E96"/>
          <cell r="F96"/>
          <cell r="G96">
            <v>0</v>
          </cell>
        </row>
        <row r="97">
          <cell r="A97" t="str">
            <v>W18001</v>
          </cell>
          <cell r="B97" t="str">
            <v>W18001</v>
          </cell>
          <cell r="C97" t="str">
            <v>Noble Minds Institute</v>
          </cell>
          <cell r="D97"/>
          <cell r="E97"/>
          <cell r="F97"/>
          <cell r="G97">
            <v>0</v>
          </cell>
        </row>
        <row r="98">
          <cell r="A98" t="str">
            <v>W1A001</v>
          </cell>
          <cell r="B98" t="str">
            <v>W1A001</v>
          </cell>
          <cell r="C98" t="str">
            <v>JCFA - East</v>
          </cell>
          <cell r="D98"/>
          <cell r="E98"/>
          <cell r="F98"/>
          <cell r="G98">
            <v>0</v>
          </cell>
        </row>
        <row r="99">
          <cell r="A99" t="str">
            <v>W1B001</v>
          </cell>
          <cell r="B99" t="str">
            <v>W1B001</v>
          </cell>
          <cell r="C99" t="str">
            <v>Advantage Charter Academy</v>
          </cell>
          <cell r="D99"/>
          <cell r="E99"/>
          <cell r="F99"/>
          <cell r="G99">
            <v>0</v>
          </cell>
        </row>
        <row r="100">
          <cell r="A100" t="str">
            <v>W1D001</v>
          </cell>
          <cell r="B100" t="str">
            <v>W1D001</v>
          </cell>
          <cell r="C100" t="str">
            <v>JCFA - Lafayette</v>
          </cell>
          <cell r="D100"/>
          <cell r="E100"/>
          <cell r="F100"/>
          <cell r="G100">
            <v>0</v>
          </cell>
        </row>
        <row r="101">
          <cell r="A101" t="str">
            <v>W2B001</v>
          </cell>
          <cell r="B101" t="str">
            <v>W2B001</v>
          </cell>
          <cell r="C101" t="str">
            <v>Willow Charter Academy</v>
          </cell>
          <cell r="D101"/>
          <cell r="E101"/>
          <cell r="F101"/>
          <cell r="G101">
            <v>0</v>
          </cell>
        </row>
        <row r="102">
          <cell r="A102" t="str">
            <v>W33001</v>
          </cell>
          <cell r="B102" t="str">
            <v>W33001</v>
          </cell>
          <cell r="C102" t="str">
            <v>Lincoln Prep School</v>
          </cell>
          <cell r="D102"/>
          <cell r="E102"/>
          <cell r="F102"/>
          <cell r="G102">
            <v>0</v>
          </cell>
        </row>
        <row r="103">
          <cell r="A103" t="str">
            <v>W3B001</v>
          </cell>
          <cell r="B103" t="str">
            <v>W3B001</v>
          </cell>
          <cell r="C103" t="str">
            <v>Iberville Charter Academy</v>
          </cell>
          <cell r="D103"/>
          <cell r="E103"/>
          <cell r="F103"/>
          <cell r="G103">
            <v>0</v>
          </cell>
        </row>
        <row r="104">
          <cell r="A104" t="str">
            <v>W4A001</v>
          </cell>
          <cell r="B104" t="str">
            <v>W4A001</v>
          </cell>
          <cell r="C104" t="str">
            <v xml:space="preserve">Delta Charter School </v>
          </cell>
          <cell r="D104"/>
          <cell r="E104"/>
          <cell r="F104"/>
          <cell r="G104">
            <v>0</v>
          </cell>
        </row>
        <row r="105">
          <cell r="A105" t="str">
            <v>W4B001</v>
          </cell>
          <cell r="B105" t="str">
            <v>W4B001</v>
          </cell>
          <cell r="C105" t="str">
            <v>Lake Charles College Prep</v>
          </cell>
          <cell r="D105"/>
          <cell r="E105"/>
          <cell r="F105"/>
          <cell r="G105">
            <v>0</v>
          </cell>
        </row>
        <row r="106">
          <cell r="A106" t="str">
            <v>W5B001</v>
          </cell>
          <cell r="B106" t="str">
            <v>W5B001</v>
          </cell>
          <cell r="C106" t="str">
            <v>Northeast Claiborne Charter</v>
          </cell>
          <cell r="D106"/>
          <cell r="E106"/>
          <cell r="F106"/>
          <cell r="G106">
            <v>0</v>
          </cell>
        </row>
        <row r="107">
          <cell r="A107" t="str">
            <v>W6B001</v>
          </cell>
          <cell r="B107" t="str">
            <v>W6B001</v>
          </cell>
          <cell r="C107" t="str">
            <v>Acadiana Renaissance</v>
          </cell>
          <cell r="D107"/>
          <cell r="E107"/>
          <cell r="F107"/>
          <cell r="G107">
            <v>0</v>
          </cell>
        </row>
        <row r="108">
          <cell r="A108" t="str">
            <v>W7A001</v>
          </cell>
          <cell r="B108" t="str">
            <v>W7A001</v>
          </cell>
          <cell r="C108" t="str">
            <v xml:space="preserve">Louisiana Key Academy </v>
          </cell>
          <cell r="D108"/>
          <cell r="E108"/>
          <cell r="F108"/>
          <cell r="G108">
            <v>0</v>
          </cell>
        </row>
        <row r="109">
          <cell r="A109" t="str">
            <v>W7B001</v>
          </cell>
          <cell r="B109" t="str">
            <v>W7B001</v>
          </cell>
          <cell r="C109" t="str">
            <v>Lafayette Renaissance</v>
          </cell>
          <cell r="D109"/>
          <cell r="E109"/>
          <cell r="F109"/>
          <cell r="G109">
            <v>0</v>
          </cell>
        </row>
        <row r="110">
          <cell r="A110" t="str">
            <v>W8A001</v>
          </cell>
          <cell r="B110" t="str">
            <v>W8A001</v>
          </cell>
          <cell r="C110" t="str">
            <v>Impact Charter</v>
          </cell>
          <cell r="D110"/>
          <cell r="E110"/>
          <cell r="F110"/>
          <cell r="G110">
            <v>0</v>
          </cell>
        </row>
        <row r="111">
          <cell r="A111" t="str">
            <v>WAG001</v>
          </cell>
          <cell r="B111" t="str">
            <v>WAG001</v>
          </cell>
          <cell r="C111" t="str">
            <v>Louisiana Virtual Charter Academy</v>
          </cell>
          <cell r="D111"/>
          <cell r="E111"/>
          <cell r="F111"/>
          <cell r="G111">
            <v>0</v>
          </cell>
        </row>
        <row r="112">
          <cell r="A112" t="str">
            <v>WAK001</v>
          </cell>
          <cell r="B112" t="str">
            <v>WAK001</v>
          </cell>
          <cell r="C112" t="str">
            <v xml:space="preserve">Southwest LA Charter School </v>
          </cell>
          <cell r="D112"/>
          <cell r="E112"/>
          <cell r="F112"/>
          <cell r="G112">
            <v>0</v>
          </cell>
        </row>
        <row r="113">
          <cell r="A113" t="str">
            <v>WAL001</v>
          </cell>
          <cell r="B113" t="str">
            <v>WAL001</v>
          </cell>
          <cell r="C113" t="str">
            <v xml:space="preserve">J. S. Clark Leadership Academy </v>
          </cell>
          <cell r="D113"/>
          <cell r="E113"/>
          <cell r="F113"/>
          <cell r="G113">
            <v>0</v>
          </cell>
        </row>
        <row r="114">
          <cell r="A114" t="str">
            <v>WAQ001</v>
          </cell>
          <cell r="B114" t="str">
            <v>WAQ001</v>
          </cell>
          <cell r="C114" t="str">
            <v>Baton Rouge University Prep</v>
          </cell>
          <cell r="D114"/>
          <cell r="E114"/>
          <cell r="F114"/>
          <cell r="G114">
            <v>0</v>
          </cell>
        </row>
        <row r="115">
          <cell r="A115" t="str">
            <v>WAU001</v>
          </cell>
          <cell r="B115" t="str">
            <v>WAU001</v>
          </cell>
          <cell r="C115" t="str">
            <v>GEO Prep Academy</v>
          </cell>
          <cell r="D115"/>
          <cell r="E115"/>
          <cell r="F115"/>
          <cell r="G115">
            <v>0</v>
          </cell>
        </row>
        <row r="116">
          <cell r="A116" t="str">
            <v>WBQ001</v>
          </cell>
          <cell r="B116" t="str">
            <v>WBQ001</v>
          </cell>
          <cell r="C116" t="str">
            <v>New Harmony High School</v>
          </cell>
          <cell r="D116"/>
          <cell r="E116"/>
          <cell r="F116"/>
          <cell r="G116">
            <v>0</v>
          </cell>
        </row>
        <row r="117">
          <cell r="A117" t="str">
            <v>WBR001</v>
          </cell>
          <cell r="B117" t="str">
            <v>WBR001</v>
          </cell>
          <cell r="C117" t="str">
            <v>Athlos Academy</v>
          </cell>
          <cell r="D117"/>
          <cell r="E117"/>
          <cell r="F117"/>
          <cell r="G117">
            <v>0</v>
          </cell>
        </row>
        <row r="118">
          <cell r="A118" t="str">
            <v>WBX001</v>
          </cell>
          <cell r="B118" t="str">
            <v>WBX001</v>
          </cell>
          <cell r="C118" t="str">
            <v xml:space="preserve">GEO Next Generation HS </v>
          </cell>
          <cell r="D118"/>
          <cell r="E118"/>
          <cell r="F118"/>
          <cell r="G118">
            <v>0</v>
          </cell>
        </row>
        <row r="119">
          <cell r="A119" t="str">
            <v>WBY001</v>
          </cell>
          <cell r="B119" t="str">
            <v>WBY001</v>
          </cell>
          <cell r="C119" t="str">
            <v>Red River Charter Academy</v>
          </cell>
          <cell r="D119"/>
          <cell r="E119"/>
          <cell r="F119"/>
          <cell r="G119">
            <v>0</v>
          </cell>
        </row>
        <row r="120">
          <cell r="A120" t="str">
            <v>WJ5001</v>
          </cell>
          <cell r="B120" t="str">
            <v>WJ5001</v>
          </cell>
          <cell r="C120" t="str">
            <v>Collegiate Academy (EBR)</v>
          </cell>
          <cell r="D120"/>
          <cell r="E120"/>
          <cell r="F120"/>
          <cell r="G120">
            <v>0</v>
          </cell>
        </row>
        <row r="121">
          <cell r="A121" t="str">
            <v>WZ8001</v>
          </cell>
          <cell r="B121" t="str">
            <v>WZ8001</v>
          </cell>
          <cell r="C121" t="str">
            <v>GEO Prep Mid-City of Greater B. R.</v>
          </cell>
          <cell r="D121"/>
          <cell r="E121"/>
          <cell r="F121"/>
          <cell r="G121">
            <v>0</v>
          </cell>
        </row>
        <row r="122">
          <cell r="A122"/>
          <cell r="B122"/>
          <cell r="C122" t="str">
            <v>Total New Type 2 Charter Schools</v>
          </cell>
          <cell r="D122">
            <v>40</v>
          </cell>
          <cell r="E122">
            <v>2</v>
          </cell>
          <cell r="F122">
            <v>0</v>
          </cell>
          <cell r="G122">
            <v>42</v>
          </cell>
        </row>
        <row r="123">
          <cell r="A123"/>
          <cell r="B123"/>
          <cell r="C123"/>
          <cell r="D123"/>
          <cell r="E123"/>
          <cell r="F123"/>
          <cell r="G123"/>
        </row>
        <row r="124">
          <cell r="A124">
            <v>396211</v>
          </cell>
          <cell r="B124">
            <v>396211</v>
          </cell>
          <cell r="C124" t="str">
            <v>Linwood Public Charter (RSD Operated)</v>
          </cell>
          <cell r="D124"/>
          <cell r="E124"/>
          <cell r="F124"/>
          <cell r="G124">
            <v>0</v>
          </cell>
        </row>
        <row r="125">
          <cell r="A125" t="str">
            <v>WA7001</v>
          </cell>
          <cell r="B125" t="str">
            <v>WA7001</v>
          </cell>
          <cell r="C125" t="str">
            <v>Capitol High School (RSD Operated)</v>
          </cell>
          <cell r="D125"/>
          <cell r="E125"/>
          <cell r="F125"/>
          <cell r="G125">
            <v>0</v>
          </cell>
        </row>
        <row r="126">
          <cell r="A126" t="str">
            <v>WAO001</v>
          </cell>
          <cell r="B126" t="str">
            <v>3AP003</v>
          </cell>
          <cell r="C126" t="str">
            <v>Celerity Dalton Charter School</v>
          </cell>
          <cell r="D126"/>
          <cell r="E126"/>
          <cell r="F126"/>
          <cell r="G126">
            <v>0</v>
          </cell>
        </row>
        <row r="127">
          <cell r="A127" t="str">
            <v>WAP001</v>
          </cell>
          <cell r="B127" t="str">
            <v>3AP001</v>
          </cell>
          <cell r="C127" t="str">
            <v>Celerity Lanier Charter School</v>
          </cell>
          <cell r="D127"/>
          <cell r="E127"/>
          <cell r="F127"/>
          <cell r="G127">
            <v>0</v>
          </cell>
        </row>
        <row r="128">
          <cell r="A128" t="str">
            <v>WAV001</v>
          </cell>
          <cell r="B128" t="str">
            <v>WAV001</v>
          </cell>
          <cell r="C128" t="str">
            <v>Democracy Prep</v>
          </cell>
          <cell r="D128"/>
          <cell r="E128"/>
          <cell r="F128"/>
          <cell r="G128">
            <v>0</v>
          </cell>
        </row>
        <row r="129">
          <cell r="A129" t="str">
            <v>WB2001</v>
          </cell>
          <cell r="B129">
            <v>389002</v>
          </cell>
          <cell r="C129" t="str">
            <v>Kenilworth Science and Tech</v>
          </cell>
          <cell r="D129"/>
          <cell r="E129"/>
          <cell r="F129"/>
          <cell r="G129">
            <v>0</v>
          </cell>
        </row>
        <row r="130">
          <cell r="A130" t="str">
            <v>WYA001</v>
          </cell>
          <cell r="B130" t="str">
            <v>3AP004</v>
          </cell>
          <cell r="C130" t="str">
            <v>Celerity Glen Oaks</v>
          </cell>
          <cell r="D130"/>
          <cell r="E130"/>
          <cell r="F130"/>
          <cell r="G130">
            <v>0</v>
          </cell>
        </row>
        <row r="131">
          <cell r="A131"/>
          <cell r="B131"/>
          <cell r="C131" t="str">
            <v>Total Type 5 Charters - LA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/>
          <cell r="B132"/>
          <cell r="C132"/>
          <cell r="D132"/>
          <cell r="E132"/>
          <cell r="F132"/>
          <cell r="G132"/>
        </row>
        <row r="133">
          <cell r="A133"/>
          <cell r="B133"/>
          <cell r="C133" t="str">
            <v>Statewide Total</v>
          </cell>
          <cell r="D133">
            <v>168</v>
          </cell>
          <cell r="E133">
            <v>76</v>
          </cell>
          <cell r="F133">
            <v>1</v>
          </cell>
          <cell r="G133">
            <v>245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_4_Level 4"/>
    </sheetNames>
    <sheetDataSet>
      <sheetData sheetId="0">
        <row r="7">
          <cell r="A7">
            <v>1</v>
          </cell>
          <cell r="B7">
            <v>1</v>
          </cell>
          <cell r="C7" t="str">
            <v>Acadia</v>
          </cell>
          <cell r="D7">
            <v>1053</v>
          </cell>
          <cell r="E7">
            <v>253773</v>
          </cell>
          <cell r="F7">
            <v>190330</v>
          </cell>
        </row>
        <row r="8">
          <cell r="A8">
            <v>2</v>
          </cell>
          <cell r="B8">
            <v>2</v>
          </cell>
          <cell r="C8" t="str">
            <v>Allen</v>
          </cell>
          <cell r="D8">
            <v>352</v>
          </cell>
          <cell r="E8">
            <v>84832</v>
          </cell>
          <cell r="F8">
            <v>63624</v>
          </cell>
        </row>
        <row r="9">
          <cell r="A9">
            <v>3</v>
          </cell>
          <cell r="B9">
            <v>3</v>
          </cell>
          <cell r="C9" t="str">
            <v>Ascension</v>
          </cell>
          <cell r="D9">
            <v>4421</v>
          </cell>
          <cell r="E9">
            <v>1065461</v>
          </cell>
          <cell r="F9">
            <v>799096</v>
          </cell>
        </row>
        <row r="10">
          <cell r="A10">
            <v>4</v>
          </cell>
          <cell r="B10">
            <v>4</v>
          </cell>
          <cell r="C10" t="str">
            <v>Assumption</v>
          </cell>
          <cell r="D10">
            <v>228</v>
          </cell>
          <cell r="E10">
            <v>54948</v>
          </cell>
          <cell r="F10">
            <v>41211</v>
          </cell>
        </row>
        <row r="11">
          <cell r="A11">
            <v>5</v>
          </cell>
          <cell r="B11">
            <v>5</v>
          </cell>
          <cell r="C11" t="str">
            <v>Avoyelles</v>
          </cell>
          <cell r="D11">
            <v>843</v>
          </cell>
          <cell r="E11">
            <v>203163</v>
          </cell>
          <cell r="F11">
            <v>152372</v>
          </cell>
        </row>
        <row r="12">
          <cell r="A12">
            <v>6</v>
          </cell>
          <cell r="B12">
            <v>6</v>
          </cell>
          <cell r="C12" t="str">
            <v>Beauregard</v>
          </cell>
          <cell r="D12">
            <v>406</v>
          </cell>
          <cell r="E12">
            <v>97846</v>
          </cell>
          <cell r="F12">
            <v>73385</v>
          </cell>
        </row>
        <row r="13">
          <cell r="A13">
            <v>7</v>
          </cell>
          <cell r="B13">
            <v>7</v>
          </cell>
          <cell r="C13" t="str">
            <v>Bienville</v>
          </cell>
          <cell r="D13">
            <v>183</v>
          </cell>
          <cell r="E13">
            <v>44103</v>
          </cell>
          <cell r="F13">
            <v>33077</v>
          </cell>
        </row>
        <row r="14">
          <cell r="A14">
            <v>8</v>
          </cell>
          <cell r="B14">
            <v>8</v>
          </cell>
          <cell r="C14" t="str">
            <v>Bossier</v>
          </cell>
          <cell r="D14">
            <v>1233</v>
          </cell>
          <cell r="E14">
            <v>297153</v>
          </cell>
          <cell r="F14">
            <v>222865</v>
          </cell>
        </row>
        <row r="15">
          <cell r="A15">
            <v>9</v>
          </cell>
          <cell r="B15">
            <v>9</v>
          </cell>
          <cell r="C15" t="str">
            <v>Caddo</v>
          </cell>
          <cell r="D15">
            <v>4107</v>
          </cell>
          <cell r="E15">
            <v>989787</v>
          </cell>
          <cell r="F15">
            <v>742340</v>
          </cell>
        </row>
        <row r="16">
          <cell r="A16">
            <v>10</v>
          </cell>
          <cell r="B16">
            <v>10</v>
          </cell>
          <cell r="C16" t="str">
            <v>Calcasieu</v>
          </cell>
          <cell r="D16">
            <v>2676</v>
          </cell>
          <cell r="E16">
            <v>644916</v>
          </cell>
          <cell r="F16">
            <v>483687</v>
          </cell>
        </row>
        <row r="17">
          <cell r="A17">
            <v>11</v>
          </cell>
          <cell r="B17">
            <v>11</v>
          </cell>
          <cell r="C17" t="str">
            <v>Caldwell</v>
          </cell>
          <cell r="D17">
            <v>298</v>
          </cell>
          <cell r="E17">
            <v>71818</v>
          </cell>
          <cell r="F17">
            <v>53864</v>
          </cell>
        </row>
        <row r="18">
          <cell r="A18">
            <v>12</v>
          </cell>
          <cell r="B18">
            <v>12</v>
          </cell>
          <cell r="C18" t="str">
            <v>Cameron</v>
          </cell>
          <cell r="D18">
            <v>80</v>
          </cell>
          <cell r="E18">
            <v>25000</v>
          </cell>
          <cell r="F18">
            <v>25000</v>
          </cell>
        </row>
        <row r="19">
          <cell r="A19">
            <v>13</v>
          </cell>
          <cell r="B19">
            <v>13</v>
          </cell>
          <cell r="C19" t="str">
            <v>Catahoula</v>
          </cell>
          <cell r="D19">
            <v>147</v>
          </cell>
          <cell r="E19">
            <v>35427</v>
          </cell>
          <cell r="F19">
            <v>26570</v>
          </cell>
        </row>
        <row r="20">
          <cell r="A20">
            <v>14</v>
          </cell>
          <cell r="B20">
            <v>14</v>
          </cell>
          <cell r="C20" t="str">
            <v>Claiborne</v>
          </cell>
          <cell r="D20">
            <v>310</v>
          </cell>
          <cell r="E20">
            <v>74710</v>
          </cell>
          <cell r="F20">
            <v>56033</v>
          </cell>
        </row>
        <row r="21">
          <cell r="A21">
            <v>15</v>
          </cell>
          <cell r="B21">
            <v>15</v>
          </cell>
          <cell r="C21" t="str">
            <v>Concordia</v>
          </cell>
          <cell r="D21">
            <v>434</v>
          </cell>
          <cell r="E21">
            <v>104594</v>
          </cell>
          <cell r="F21">
            <v>78446</v>
          </cell>
        </row>
        <row r="22">
          <cell r="A22">
            <v>16</v>
          </cell>
          <cell r="B22">
            <v>16</v>
          </cell>
          <cell r="C22" t="str">
            <v>DeSoto</v>
          </cell>
          <cell r="D22">
            <v>1079</v>
          </cell>
          <cell r="E22">
            <v>260039</v>
          </cell>
          <cell r="F22">
            <v>195029</v>
          </cell>
        </row>
        <row r="23">
          <cell r="A23">
            <v>17</v>
          </cell>
          <cell r="B23">
            <v>17</v>
          </cell>
          <cell r="C23" t="str">
            <v>East Baton Rouge</v>
          </cell>
          <cell r="D23">
            <v>4337</v>
          </cell>
          <cell r="E23">
            <v>1045217</v>
          </cell>
          <cell r="F23">
            <v>783913</v>
          </cell>
        </row>
        <row r="24">
          <cell r="A24">
            <v>18</v>
          </cell>
          <cell r="B24">
            <v>18</v>
          </cell>
          <cell r="C24" t="str">
            <v>East Carroll</v>
          </cell>
          <cell r="D24">
            <v>200</v>
          </cell>
          <cell r="E24">
            <v>48200</v>
          </cell>
          <cell r="F24">
            <v>36150</v>
          </cell>
        </row>
        <row r="25">
          <cell r="A25">
            <v>19</v>
          </cell>
          <cell r="B25">
            <v>19</v>
          </cell>
          <cell r="C25" t="str">
            <v>East Feliciana</v>
          </cell>
          <cell r="D25">
            <v>89</v>
          </cell>
          <cell r="E25">
            <v>25000</v>
          </cell>
          <cell r="F25">
            <v>25000</v>
          </cell>
        </row>
        <row r="26">
          <cell r="A26">
            <v>20</v>
          </cell>
          <cell r="B26">
            <v>20</v>
          </cell>
          <cell r="C26" t="str">
            <v>Evangeline</v>
          </cell>
          <cell r="D26">
            <v>979</v>
          </cell>
          <cell r="E26">
            <v>235939</v>
          </cell>
          <cell r="F26">
            <v>176954</v>
          </cell>
        </row>
        <row r="27">
          <cell r="A27">
            <v>21</v>
          </cell>
          <cell r="B27">
            <v>21</v>
          </cell>
          <cell r="C27" t="str">
            <v>Franklin</v>
          </cell>
          <cell r="D27">
            <v>96</v>
          </cell>
          <cell r="E27">
            <v>25000</v>
          </cell>
          <cell r="F27">
            <v>25000</v>
          </cell>
        </row>
        <row r="28">
          <cell r="A28">
            <v>22</v>
          </cell>
          <cell r="B28">
            <v>22</v>
          </cell>
          <cell r="C28" t="str">
            <v>Grant</v>
          </cell>
          <cell r="D28">
            <v>475</v>
          </cell>
          <cell r="E28">
            <v>114475</v>
          </cell>
          <cell r="F28">
            <v>85856</v>
          </cell>
        </row>
        <row r="29">
          <cell r="A29">
            <v>23</v>
          </cell>
          <cell r="B29">
            <v>23</v>
          </cell>
          <cell r="C29" t="str">
            <v>Iberia</v>
          </cell>
          <cell r="D29">
            <v>1740</v>
          </cell>
          <cell r="E29">
            <v>419340</v>
          </cell>
          <cell r="F29">
            <v>314505</v>
          </cell>
        </row>
        <row r="30">
          <cell r="A30">
            <v>24</v>
          </cell>
          <cell r="B30">
            <v>24</v>
          </cell>
          <cell r="C30" t="str">
            <v>Iberville</v>
          </cell>
          <cell r="D30">
            <v>565</v>
          </cell>
          <cell r="E30">
            <v>136165</v>
          </cell>
          <cell r="F30">
            <v>102124</v>
          </cell>
        </row>
        <row r="31">
          <cell r="A31">
            <v>25</v>
          </cell>
          <cell r="B31">
            <v>25</v>
          </cell>
          <cell r="C31" t="str">
            <v>Jackson</v>
          </cell>
          <cell r="D31">
            <v>347</v>
          </cell>
          <cell r="E31">
            <v>83627</v>
          </cell>
          <cell r="F31">
            <v>62720</v>
          </cell>
        </row>
        <row r="32">
          <cell r="A32">
            <v>26</v>
          </cell>
          <cell r="B32">
            <v>26</v>
          </cell>
          <cell r="C32" t="str">
            <v>Jefferson</v>
          </cell>
          <cell r="D32">
            <v>5267</v>
          </cell>
          <cell r="E32">
            <v>1269347</v>
          </cell>
          <cell r="F32">
            <v>952010</v>
          </cell>
        </row>
        <row r="33">
          <cell r="A33">
            <v>27</v>
          </cell>
          <cell r="B33">
            <v>27</v>
          </cell>
          <cell r="C33" t="str">
            <v>Jefferson Davis</v>
          </cell>
          <cell r="D33">
            <v>650</v>
          </cell>
          <cell r="E33">
            <v>156650</v>
          </cell>
          <cell r="F33">
            <v>117488</v>
          </cell>
        </row>
        <row r="34">
          <cell r="A34">
            <v>28</v>
          </cell>
          <cell r="B34">
            <v>28</v>
          </cell>
          <cell r="C34" t="str">
            <v>Lafayette</v>
          </cell>
          <cell r="D34">
            <v>3473</v>
          </cell>
          <cell r="E34">
            <v>836993</v>
          </cell>
          <cell r="F34">
            <v>627745</v>
          </cell>
        </row>
        <row r="35">
          <cell r="A35">
            <v>29</v>
          </cell>
          <cell r="B35">
            <v>29</v>
          </cell>
          <cell r="C35" t="str">
            <v>Lafourche</v>
          </cell>
          <cell r="D35">
            <v>2563</v>
          </cell>
          <cell r="E35">
            <v>617683</v>
          </cell>
          <cell r="F35">
            <v>463262</v>
          </cell>
        </row>
        <row r="36">
          <cell r="A36">
            <v>30</v>
          </cell>
          <cell r="B36">
            <v>30</v>
          </cell>
          <cell r="C36" t="str">
            <v>LaSalle</v>
          </cell>
          <cell r="D36">
            <v>321</v>
          </cell>
          <cell r="E36">
            <v>77361</v>
          </cell>
          <cell r="F36">
            <v>58021</v>
          </cell>
        </row>
        <row r="37">
          <cell r="A37">
            <v>31</v>
          </cell>
          <cell r="B37">
            <v>31</v>
          </cell>
          <cell r="C37" t="str">
            <v>Lincoln</v>
          </cell>
          <cell r="D37">
            <v>563</v>
          </cell>
          <cell r="E37">
            <v>135683</v>
          </cell>
          <cell r="F37">
            <v>101762</v>
          </cell>
        </row>
        <row r="38">
          <cell r="A38">
            <v>32</v>
          </cell>
          <cell r="B38">
            <v>32</v>
          </cell>
          <cell r="C38" t="str">
            <v>Livingston</v>
          </cell>
          <cell r="D38">
            <v>5468</v>
          </cell>
          <cell r="E38">
            <v>1317788</v>
          </cell>
          <cell r="F38">
            <v>988341</v>
          </cell>
        </row>
        <row r="39">
          <cell r="A39">
            <v>33</v>
          </cell>
          <cell r="B39">
            <v>33</v>
          </cell>
          <cell r="C39" t="str">
            <v>Madison</v>
          </cell>
          <cell r="D39">
            <v>215</v>
          </cell>
          <cell r="E39">
            <v>51815</v>
          </cell>
          <cell r="F39">
            <v>38861</v>
          </cell>
        </row>
        <row r="40">
          <cell r="A40">
            <v>34</v>
          </cell>
          <cell r="B40">
            <v>34</v>
          </cell>
          <cell r="C40" t="str">
            <v>Morehouse</v>
          </cell>
          <cell r="D40">
            <v>684</v>
          </cell>
          <cell r="E40">
            <v>164844</v>
          </cell>
          <cell r="F40">
            <v>123633</v>
          </cell>
        </row>
        <row r="41">
          <cell r="A41">
            <v>35</v>
          </cell>
          <cell r="B41">
            <v>35</v>
          </cell>
          <cell r="C41" t="str">
            <v>Natchitoches</v>
          </cell>
          <cell r="D41">
            <v>777</v>
          </cell>
          <cell r="E41">
            <v>187257</v>
          </cell>
          <cell r="F41">
            <v>140443</v>
          </cell>
        </row>
        <row r="42">
          <cell r="A42">
            <v>36</v>
          </cell>
          <cell r="B42">
            <v>36</v>
          </cell>
          <cell r="C42" t="str">
            <v>Orleans</v>
          </cell>
          <cell r="D42">
            <v>4452</v>
          </cell>
          <cell r="E42">
            <v>1121965</v>
          </cell>
          <cell r="F42">
            <v>878434</v>
          </cell>
        </row>
        <row r="43">
          <cell r="A43">
            <v>37</v>
          </cell>
          <cell r="B43">
            <v>37</v>
          </cell>
          <cell r="C43" t="str">
            <v>Ouachita</v>
          </cell>
          <cell r="D43">
            <v>1569</v>
          </cell>
          <cell r="E43">
            <v>378129</v>
          </cell>
          <cell r="F43">
            <v>283597</v>
          </cell>
        </row>
        <row r="44">
          <cell r="A44">
            <v>38</v>
          </cell>
          <cell r="B44">
            <v>38</v>
          </cell>
          <cell r="C44" t="str">
            <v>Plaquemines</v>
          </cell>
          <cell r="D44">
            <v>299</v>
          </cell>
          <cell r="E44">
            <v>72059</v>
          </cell>
          <cell r="F44">
            <v>54044</v>
          </cell>
        </row>
        <row r="45">
          <cell r="A45">
            <v>39</v>
          </cell>
          <cell r="B45">
            <v>39</v>
          </cell>
          <cell r="C45" t="str">
            <v>Pointe Coupee</v>
          </cell>
          <cell r="D45">
            <v>708</v>
          </cell>
          <cell r="E45">
            <v>170628</v>
          </cell>
          <cell r="F45">
            <v>127971</v>
          </cell>
        </row>
        <row r="46">
          <cell r="A46">
            <v>40</v>
          </cell>
          <cell r="B46">
            <v>40</v>
          </cell>
          <cell r="C46" t="str">
            <v>Rapides</v>
          </cell>
          <cell r="D46">
            <v>3315</v>
          </cell>
          <cell r="E46">
            <v>798915</v>
          </cell>
          <cell r="F46">
            <v>599186</v>
          </cell>
        </row>
        <row r="47">
          <cell r="A47">
            <v>41</v>
          </cell>
          <cell r="B47">
            <v>41</v>
          </cell>
          <cell r="C47" t="str">
            <v>Red River</v>
          </cell>
          <cell r="D47">
            <v>151</v>
          </cell>
          <cell r="E47">
            <v>36391</v>
          </cell>
          <cell r="F47">
            <v>27293</v>
          </cell>
        </row>
        <row r="48">
          <cell r="A48">
            <v>42</v>
          </cell>
          <cell r="B48">
            <v>42</v>
          </cell>
          <cell r="C48" t="str">
            <v>Richland</v>
          </cell>
          <cell r="D48">
            <v>373</v>
          </cell>
          <cell r="E48">
            <v>89893</v>
          </cell>
          <cell r="F48">
            <v>67420</v>
          </cell>
        </row>
        <row r="49">
          <cell r="A49">
            <v>43</v>
          </cell>
          <cell r="B49">
            <v>43</v>
          </cell>
          <cell r="C49" t="str">
            <v>Sabine</v>
          </cell>
          <cell r="D49">
            <v>534</v>
          </cell>
          <cell r="E49">
            <v>128694</v>
          </cell>
          <cell r="F49">
            <v>96521</v>
          </cell>
        </row>
        <row r="50">
          <cell r="A50">
            <v>44</v>
          </cell>
          <cell r="B50">
            <v>44</v>
          </cell>
          <cell r="C50" t="str">
            <v>St. Bernard</v>
          </cell>
          <cell r="D50">
            <v>821</v>
          </cell>
          <cell r="E50">
            <v>197861</v>
          </cell>
          <cell r="F50">
            <v>148396</v>
          </cell>
        </row>
        <row r="51">
          <cell r="A51">
            <v>45</v>
          </cell>
          <cell r="B51">
            <v>45</v>
          </cell>
          <cell r="C51" t="str">
            <v>St. Charles</v>
          </cell>
          <cell r="D51">
            <v>966</v>
          </cell>
          <cell r="E51">
            <v>232806</v>
          </cell>
          <cell r="F51">
            <v>174605</v>
          </cell>
        </row>
        <row r="52">
          <cell r="A52">
            <v>46</v>
          </cell>
          <cell r="B52">
            <v>46</v>
          </cell>
          <cell r="C52" t="str">
            <v>St. Helena</v>
          </cell>
          <cell r="D52">
            <v>126</v>
          </cell>
          <cell r="E52">
            <v>30366</v>
          </cell>
          <cell r="F52">
            <v>25000</v>
          </cell>
        </row>
        <row r="53">
          <cell r="A53">
            <v>47</v>
          </cell>
          <cell r="B53">
            <v>47</v>
          </cell>
          <cell r="C53" t="str">
            <v>St. James</v>
          </cell>
          <cell r="D53">
            <v>688</v>
          </cell>
          <cell r="E53">
            <v>165808</v>
          </cell>
          <cell r="F53">
            <v>124356</v>
          </cell>
        </row>
        <row r="54">
          <cell r="A54">
            <v>48</v>
          </cell>
          <cell r="B54">
            <v>48</v>
          </cell>
          <cell r="C54" t="str">
            <v>St. John the Baptist</v>
          </cell>
          <cell r="D54">
            <v>712</v>
          </cell>
          <cell r="E54">
            <v>171592</v>
          </cell>
          <cell r="F54">
            <v>128694</v>
          </cell>
        </row>
        <row r="55">
          <cell r="A55">
            <v>49</v>
          </cell>
          <cell r="B55">
            <v>49</v>
          </cell>
          <cell r="C55" t="str">
            <v>St. Landry</v>
          </cell>
          <cell r="D55">
            <v>2863</v>
          </cell>
          <cell r="E55">
            <v>689983</v>
          </cell>
          <cell r="F55">
            <v>517487</v>
          </cell>
        </row>
        <row r="56">
          <cell r="A56">
            <v>50</v>
          </cell>
          <cell r="B56">
            <v>50</v>
          </cell>
          <cell r="C56" t="str">
            <v>St. Martin</v>
          </cell>
          <cell r="D56">
            <v>1009</v>
          </cell>
          <cell r="E56">
            <v>243169</v>
          </cell>
          <cell r="F56">
            <v>182377</v>
          </cell>
        </row>
        <row r="57">
          <cell r="A57">
            <v>51</v>
          </cell>
          <cell r="B57">
            <v>51</v>
          </cell>
          <cell r="C57" t="str">
            <v>St. Mary</v>
          </cell>
          <cell r="D57">
            <v>2141</v>
          </cell>
          <cell r="E57">
            <v>515981</v>
          </cell>
          <cell r="F57">
            <v>386986</v>
          </cell>
        </row>
        <row r="58">
          <cell r="A58">
            <v>52</v>
          </cell>
          <cell r="B58">
            <v>52</v>
          </cell>
          <cell r="C58" t="str">
            <v>St. Tammany</v>
          </cell>
          <cell r="D58">
            <v>3729</v>
          </cell>
          <cell r="E58">
            <v>898689</v>
          </cell>
          <cell r="F58">
            <v>674017</v>
          </cell>
        </row>
        <row r="59">
          <cell r="A59">
            <v>53</v>
          </cell>
          <cell r="B59">
            <v>53</v>
          </cell>
          <cell r="C59" t="str">
            <v>Tangipahoa</v>
          </cell>
          <cell r="D59">
            <v>3231</v>
          </cell>
          <cell r="E59">
            <v>778671</v>
          </cell>
          <cell r="F59">
            <v>584003</v>
          </cell>
        </row>
        <row r="60">
          <cell r="A60">
            <v>54</v>
          </cell>
          <cell r="B60">
            <v>54</v>
          </cell>
          <cell r="C60" t="str">
            <v>Tensas</v>
          </cell>
          <cell r="D60">
            <v>46</v>
          </cell>
          <cell r="E60">
            <v>25000</v>
          </cell>
          <cell r="F60">
            <v>25000</v>
          </cell>
        </row>
        <row r="61">
          <cell r="A61">
            <v>55</v>
          </cell>
          <cell r="B61">
            <v>55</v>
          </cell>
          <cell r="C61" t="str">
            <v>Terrebonne</v>
          </cell>
          <cell r="D61">
            <v>1914</v>
          </cell>
          <cell r="E61">
            <v>461274</v>
          </cell>
          <cell r="F61">
            <v>345956</v>
          </cell>
        </row>
        <row r="62">
          <cell r="A62">
            <v>56</v>
          </cell>
          <cell r="B62">
            <v>56</v>
          </cell>
          <cell r="C62" t="str">
            <v>Union</v>
          </cell>
          <cell r="D62">
            <v>248</v>
          </cell>
          <cell r="E62">
            <v>59768</v>
          </cell>
          <cell r="F62">
            <v>44826</v>
          </cell>
        </row>
        <row r="63">
          <cell r="A63">
            <v>57</v>
          </cell>
          <cell r="B63">
            <v>57</v>
          </cell>
          <cell r="C63" t="str">
            <v>Vermilion</v>
          </cell>
          <cell r="D63">
            <v>828.5</v>
          </cell>
          <cell r="E63">
            <v>199669</v>
          </cell>
          <cell r="F63">
            <v>149752</v>
          </cell>
        </row>
        <row r="64">
          <cell r="A64">
            <v>58</v>
          </cell>
          <cell r="B64">
            <v>58</v>
          </cell>
          <cell r="C64" t="str">
            <v>Vernon</v>
          </cell>
          <cell r="D64">
            <v>683</v>
          </cell>
          <cell r="E64">
            <v>164603</v>
          </cell>
          <cell r="F64">
            <v>123452</v>
          </cell>
        </row>
        <row r="65">
          <cell r="A65">
            <v>59</v>
          </cell>
          <cell r="B65">
            <v>59</v>
          </cell>
          <cell r="C65" t="str">
            <v>Washington</v>
          </cell>
          <cell r="D65">
            <v>913</v>
          </cell>
          <cell r="E65">
            <v>220033</v>
          </cell>
          <cell r="F65">
            <v>165025</v>
          </cell>
        </row>
        <row r="66">
          <cell r="A66">
            <v>60</v>
          </cell>
          <cell r="B66">
            <v>60</v>
          </cell>
          <cell r="C66" t="str">
            <v>Webster</v>
          </cell>
          <cell r="D66">
            <v>775</v>
          </cell>
          <cell r="E66">
            <v>186775</v>
          </cell>
          <cell r="F66">
            <v>140081</v>
          </cell>
        </row>
        <row r="67">
          <cell r="A67">
            <v>61</v>
          </cell>
          <cell r="B67">
            <v>61</v>
          </cell>
          <cell r="C67" t="str">
            <v>West Baton Rouge</v>
          </cell>
          <cell r="D67">
            <v>494</v>
          </cell>
          <cell r="E67">
            <v>119054</v>
          </cell>
          <cell r="F67">
            <v>89291</v>
          </cell>
        </row>
        <row r="68">
          <cell r="A68">
            <v>62</v>
          </cell>
          <cell r="B68">
            <v>62</v>
          </cell>
          <cell r="C68" t="str">
            <v>West Carroll</v>
          </cell>
          <cell r="D68">
            <v>214</v>
          </cell>
          <cell r="E68">
            <v>51574</v>
          </cell>
          <cell r="F68">
            <v>38681</v>
          </cell>
        </row>
        <row r="69">
          <cell r="A69">
            <v>63</v>
          </cell>
          <cell r="B69">
            <v>63</v>
          </cell>
          <cell r="C69" t="str">
            <v>West Feliciana</v>
          </cell>
          <cell r="D69">
            <v>420</v>
          </cell>
          <cell r="E69">
            <v>101220</v>
          </cell>
          <cell r="F69">
            <v>75915</v>
          </cell>
        </row>
        <row r="70">
          <cell r="A70">
            <v>64</v>
          </cell>
          <cell r="B70">
            <v>64</v>
          </cell>
          <cell r="C70" t="str">
            <v>Winn</v>
          </cell>
          <cell r="D70">
            <v>533</v>
          </cell>
          <cell r="E70">
            <v>128453</v>
          </cell>
          <cell r="F70">
            <v>96340</v>
          </cell>
        </row>
        <row r="71">
          <cell r="A71">
            <v>65</v>
          </cell>
          <cell r="B71">
            <v>65</v>
          </cell>
          <cell r="C71" t="str">
            <v>City of Monroe</v>
          </cell>
          <cell r="D71">
            <v>1241</v>
          </cell>
          <cell r="E71">
            <v>299081</v>
          </cell>
          <cell r="F71">
            <v>224311</v>
          </cell>
        </row>
        <row r="72">
          <cell r="A72">
            <v>66</v>
          </cell>
          <cell r="B72">
            <v>66</v>
          </cell>
          <cell r="C72" t="str">
            <v>City of Bogalusa</v>
          </cell>
          <cell r="D72">
            <v>297</v>
          </cell>
          <cell r="E72">
            <v>71577</v>
          </cell>
          <cell r="F72">
            <v>53683</v>
          </cell>
        </row>
        <row r="73">
          <cell r="A73">
            <v>67</v>
          </cell>
          <cell r="B73">
            <v>67</v>
          </cell>
          <cell r="C73" t="str">
            <v>Zachary Community</v>
          </cell>
          <cell r="D73">
            <v>367</v>
          </cell>
          <cell r="E73">
            <v>88447</v>
          </cell>
          <cell r="F73">
            <v>66335</v>
          </cell>
        </row>
        <row r="74">
          <cell r="A74">
            <v>68</v>
          </cell>
          <cell r="B74">
            <v>68</v>
          </cell>
          <cell r="C74" t="str">
            <v>City of Baker</v>
          </cell>
          <cell r="D74">
            <v>39</v>
          </cell>
          <cell r="E74">
            <v>25000</v>
          </cell>
          <cell r="F74">
            <v>25000</v>
          </cell>
        </row>
        <row r="75">
          <cell r="A75">
            <v>69</v>
          </cell>
          <cell r="B75">
            <v>69</v>
          </cell>
          <cell r="C75" t="str">
            <v>Central Community</v>
          </cell>
          <cell r="D75">
            <v>887</v>
          </cell>
          <cell r="E75">
            <v>213767</v>
          </cell>
          <cell r="F75">
            <v>160325</v>
          </cell>
        </row>
        <row r="76">
          <cell r="A76"/>
          <cell r="B76"/>
          <cell r="C76" t="str">
            <v>Total City/Parish</v>
          </cell>
          <cell r="D76">
            <v>84245.5</v>
          </cell>
          <cell r="E76">
            <v>20392849</v>
          </cell>
          <cell r="F76">
            <v>15365077</v>
          </cell>
        </row>
        <row r="77">
          <cell r="A77"/>
          <cell r="B77"/>
          <cell r="C77"/>
          <cell r="D77"/>
          <cell r="E77"/>
          <cell r="F77"/>
        </row>
        <row r="78">
          <cell r="A78">
            <v>318</v>
          </cell>
          <cell r="B78">
            <v>318001</v>
          </cell>
          <cell r="C78" t="str">
            <v>LSU Lab School</v>
          </cell>
          <cell r="D78">
            <v>51</v>
          </cell>
          <cell r="E78">
            <v>12291</v>
          </cell>
          <cell r="F78">
            <v>10000</v>
          </cell>
        </row>
        <row r="79">
          <cell r="A79">
            <v>319</v>
          </cell>
          <cell r="B79">
            <v>319001</v>
          </cell>
          <cell r="C79" t="str">
            <v>Southern Lab School</v>
          </cell>
          <cell r="D79">
            <v>1</v>
          </cell>
          <cell r="E79">
            <v>10000</v>
          </cell>
          <cell r="F79">
            <v>10000</v>
          </cell>
        </row>
        <row r="80">
          <cell r="A80">
            <v>302006</v>
          </cell>
          <cell r="B80">
            <v>302006</v>
          </cell>
          <cell r="C80" t="str">
            <v>LA School for Math, Science and the Arts</v>
          </cell>
          <cell r="D80">
            <v>0</v>
          </cell>
          <cell r="E80">
            <v>10000</v>
          </cell>
          <cell r="F80">
            <v>10000</v>
          </cell>
        </row>
        <row r="81">
          <cell r="A81">
            <v>334001</v>
          </cell>
          <cell r="B81">
            <v>334001</v>
          </cell>
          <cell r="C81" t="str">
            <v>New Orleans Center for Creative Arts</v>
          </cell>
          <cell r="D81">
            <v>0</v>
          </cell>
          <cell r="E81">
            <v>10000</v>
          </cell>
          <cell r="F81">
            <v>10000</v>
          </cell>
        </row>
        <row r="82">
          <cell r="A82" t="str">
            <v>3C1001</v>
          </cell>
          <cell r="B82" t="str">
            <v>3C1001</v>
          </cell>
          <cell r="C82" t="str">
            <v>Thrive</v>
          </cell>
          <cell r="D82">
            <v>72</v>
          </cell>
          <cell r="E82">
            <v>17352</v>
          </cell>
          <cell r="F82">
            <v>13014</v>
          </cell>
        </row>
        <row r="83">
          <cell r="A83" t="str">
            <v>A02</v>
          </cell>
          <cell r="B83" t="str">
            <v>A02</v>
          </cell>
          <cell r="C83" t="str">
            <v>Office of Juvenile Justice</v>
          </cell>
          <cell r="D83">
            <v>158</v>
          </cell>
          <cell r="E83">
            <v>38078</v>
          </cell>
          <cell r="F83">
            <v>28559</v>
          </cell>
        </row>
        <row r="84">
          <cell r="A84"/>
          <cell r="B84"/>
          <cell r="C84" t="str">
            <v>Total Lab &amp; State Approved Schools</v>
          </cell>
          <cell r="D84">
            <v>282</v>
          </cell>
          <cell r="E84">
            <v>97721</v>
          </cell>
          <cell r="F84">
            <v>81573</v>
          </cell>
        </row>
        <row r="85">
          <cell r="A85"/>
          <cell r="B85"/>
          <cell r="C85"/>
          <cell r="D85"/>
          <cell r="E85"/>
          <cell r="F85"/>
        </row>
        <row r="86">
          <cell r="A86">
            <v>321001</v>
          </cell>
          <cell r="B86">
            <v>321001</v>
          </cell>
          <cell r="C86" t="str">
            <v>New Vision Learning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329001</v>
          </cell>
          <cell r="B87">
            <v>329001</v>
          </cell>
          <cell r="C87" t="str">
            <v>Glencoe Charter School</v>
          </cell>
          <cell r="D87">
            <v>50</v>
          </cell>
          <cell r="E87">
            <v>12050</v>
          </cell>
          <cell r="F87">
            <v>10000</v>
          </cell>
        </row>
        <row r="88">
          <cell r="A88">
            <v>331001</v>
          </cell>
          <cell r="B88">
            <v>331001</v>
          </cell>
          <cell r="C88" t="str">
            <v>International School of LA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333001</v>
          </cell>
          <cell r="B89">
            <v>333001</v>
          </cell>
          <cell r="C89" t="str">
            <v>Avoyelles Public Charter School</v>
          </cell>
          <cell r="D89">
            <v>0</v>
          </cell>
          <cell r="E89">
            <v>10000</v>
          </cell>
          <cell r="F89">
            <v>10000</v>
          </cell>
        </row>
        <row r="90">
          <cell r="A90">
            <v>336001</v>
          </cell>
          <cell r="B90">
            <v>336001</v>
          </cell>
          <cell r="C90" t="str">
            <v>Delhi Charter School</v>
          </cell>
          <cell r="D90">
            <v>228</v>
          </cell>
          <cell r="E90">
            <v>54948</v>
          </cell>
          <cell r="F90">
            <v>41211</v>
          </cell>
        </row>
        <row r="91">
          <cell r="A91">
            <v>337001</v>
          </cell>
          <cell r="B91">
            <v>337001</v>
          </cell>
          <cell r="C91" t="str">
            <v>Belle Chasse Academy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340001</v>
          </cell>
          <cell r="B92">
            <v>340001</v>
          </cell>
          <cell r="C92" t="str">
            <v>The MAX Charter School</v>
          </cell>
          <cell r="D92">
            <v>12</v>
          </cell>
          <cell r="E92">
            <v>2892</v>
          </cell>
          <cell r="F92">
            <v>0</v>
          </cell>
        </row>
        <row r="93">
          <cell r="A93"/>
          <cell r="B93"/>
          <cell r="C93" t="str">
            <v>Total Legacy Type 2 Charter Schools</v>
          </cell>
          <cell r="D93">
            <v>290</v>
          </cell>
          <cell r="E93">
            <v>79890</v>
          </cell>
          <cell r="F93">
            <v>61211</v>
          </cell>
        </row>
        <row r="94">
          <cell r="A94"/>
          <cell r="B94"/>
          <cell r="C94"/>
          <cell r="D94"/>
          <cell r="E94"/>
          <cell r="F94"/>
        </row>
        <row r="95">
          <cell r="A95">
            <v>341001</v>
          </cell>
          <cell r="B95">
            <v>341001</v>
          </cell>
          <cell r="C95" t="str">
            <v xml:space="preserve">D'Arbonne Woods </v>
          </cell>
          <cell r="D95">
            <v>200</v>
          </cell>
          <cell r="E95">
            <v>48200</v>
          </cell>
          <cell r="F95">
            <v>36150</v>
          </cell>
        </row>
        <row r="96">
          <cell r="A96">
            <v>343001</v>
          </cell>
          <cell r="B96">
            <v>343001</v>
          </cell>
          <cell r="C96" t="str">
            <v>Madison Prep</v>
          </cell>
          <cell r="D96">
            <v>330</v>
          </cell>
          <cell r="E96">
            <v>79530</v>
          </cell>
          <cell r="F96">
            <v>59648</v>
          </cell>
        </row>
        <row r="97">
          <cell r="A97">
            <v>344001</v>
          </cell>
          <cell r="B97">
            <v>344001</v>
          </cell>
          <cell r="C97" t="str">
            <v xml:space="preserve">Int'l High School of N. O. </v>
          </cell>
          <cell r="D97">
            <v>0</v>
          </cell>
          <cell r="E97">
            <v>10000</v>
          </cell>
          <cell r="F97">
            <v>10000</v>
          </cell>
        </row>
        <row r="98">
          <cell r="A98">
            <v>345001</v>
          </cell>
          <cell r="B98">
            <v>345001</v>
          </cell>
          <cell r="C98" t="str">
            <v>University View Academy</v>
          </cell>
          <cell r="D98">
            <v>305</v>
          </cell>
          <cell r="E98">
            <v>73505</v>
          </cell>
          <cell r="F98">
            <v>55129</v>
          </cell>
        </row>
        <row r="99">
          <cell r="A99">
            <v>346001</v>
          </cell>
          <cell r="B99">
            <v>346001</v>
          </cell>
          <cell r="C99" t="str">
            <v xml:space="preserve">Lake Charles Charter Academy </v>
          </cell>
          <cell r="D99">
            <v>0</v>
          </cell>
          <cell r="E99">
            <v>0</v>
          </cell>
          <cell r="F99">
            <v>0</v>
          </cell>
        </row>
        <row r="100">
          <cell r="A100">
            <v>347001</v>
          </cell>
          <cell r="B100">
            <v>347001</v>
          </cell>
          <cell r="C100" t="str">
            <v xml:space="preserve">Lycee Francois de la Nouvelle Orleans </v>
          </cell>
          <cell r="D100">
            <v>0</v>
          </cell>
          <cell r="E100">
            <v>10000</v>
          </cell>
          <cell r="F100">
            <v>10000</v>
          </cell>
        </row>
        <row r="101">
          <cell r="A101">
            <v>348001</v>
          </cell>
          <cell r="B101">
            <v>348001</v>
          </cell>
          <cell r="C101" t="str">
            <v xml:space="preserve">New Orleans Military/Maritime Acdmy </v>
          </cell>
          <cell r="D101">
            <v>160</v>
          </cell>
          <cell r="E101">
            <v>38560</v>
          </cell>
          <cell r="F101">
            <v>28920</v>
          </cell>
        </row>
        <row r="102">
          <cell r="A102" t="str">
            <v>3C4001</v>
          </cell>
          <cell r="B102" t="str">
            <v>3C4001</v>
          </cell>
          <cell r="C102" t="str">
            <v>Williams Scholar Academy</v>
          </cell>
          <cell r="D102"/>
          <cell r="E102"/>
          <cell r="F102">
            <v>10000</v>
          </cell>
        </row>
        <row r="103">
          <cell r="A103" t="str">
            <v>3C5001</v>
          </cell>
          <cell r="B103" t="str">
            <v>3C5001</v>
          </cell>
          <cell r="C103" t="str">
            <v>St Landry Charter School</v>
          </cell>
          <cell r="D103"/>
          <cell r="E103"/>
          <cell r="F103">
            <v>0</v>
          </cell>
        </row>
        <row r="104">
          <cell r="A104" t="str">
            <v>W18001</v>
          </cell>
          <cell r="B104" t="str">
            <v>W18001</v>
          </cell>
          <cell r="C104" t="str">
            <v>Noble Minds Institute</v>
          </cell>
          <cell r="D104">
            <v>0</v>
          </cell>
          <cell r="E104">
            <v>0</v>
          </cell>
          <cell r="F104">
            <v>0</v>
          </cell>
        </row>
        <row r="105">
          <cell r="A105" t="str">
            <v>W1A001</v>
          </cell>
          <cell r="B105" t="str">
            <v>W1A001</v>
          </cell>
          <cell r="C105" t="str">
            <v>JCFA - East</v>
          </cell>
          <cell r="D105">
            <v>50</v>
          </cell>
          <cell r="E105">
            <v>12050</v>
          </cell>
          <cell r="F105">
            <v>10000</v>
          </cell>
        </row>
        <row r="106">
          <cell r="A106" t="str">
            <v>W1B001</v>
          </cell>
          <cell r="B106" t="str">
            <v>W1B001</v>
          </cell>
          <cell r="C106" t="str">
            <v>Advantage Charter Academy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W1D001</v>
          </cell>
          <cell r="B107" t="str">
            <v>W1D001</v>
          </cell>
          <cell r="C107" t="str">
            <v>JCFA - Lafayette</v>
          </cell>
          <cell r="D107">
            <v>7</v>
          </cell>
          <cell r="E107">
            <v>10000</v>
          </cell>
          <cell r="F107">
            <v>10000</v>
          </cell>
        </row>
        <row r="108">
          <cell r="A108" t="str">
            <v>W2B001</v>
          </cell>
          <cell r="B108" t="str">
            <v>W2B001</v>
          </cell>
          <cell r="C108" t="str">
            <v>Willow Charter Academy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W33001</v>
          </cell>
          <cell r="B109" t="str">
            <v>W33001</v>
          </cell>
          <cell r="C109" t="str">
            <v>Lincoln Prep School</v>
          </cell>
          <cell r="D109">
            <v>7</v>
          </cell>
          <cell r="E109">
            <v>10000</v>
          </cell>
          <cell r="F109">
            <v>10000</v>
          </cell>
        </row>
        <row r="110">
          <cell r="A110" t="str">
            <v>W3B001</v>
          </cell>
          <cell r="B110" t="str">
            <v>W3B001</v>
          </cell>
          <cell r="C110" t="str">
            <v>Iberville Charter Academy</v>
          </cell>
          <cell r="D110">
            <v>0</v>
          </cell>
          <cell r="E110">
            <v>0</v>
          </cell>
          <cell r="F110">
            <v>0</v>
          </cell>
        </row>
        <row r="111">
          <cell r="A111" t="str">
            <v>W4A001</v>
          </cell>
          <cell r="B111" t="str">
            <v>W4A001</v>
          </cell>
          <cell r="C111" t="str">
            <v xml:space="preserve">Delta Charter School </v>
          </cell>
          <cell r="D111">
            <v>21</v>
          </cell>
          <cell r="E111">
            <v>10000</v>
          </cell>
          <cell r="F111">
            <v>10000</v>
          </cell>
        </row>
        <row r="112">
          <cell r="A112" t="str">
            <v>W4B001</v>
          </cell>
          <cell r="B112" t="str">
            <v>W4B001</v>
          </cell>
          <cell r="C112" t="str">
            <v>Lake Charles College Prep</v>
          </cell>
          <cell r="D112">
            <v>178</v>
          </cell>
          <cell r="E112">
            <v>42898</v>
          </cell>
          <cell r="F112">
            <v>32174</v>
          </cell>
        </row>
        <row r="113">
          <cell r="A113" t="str">
            <v>W5B001</v>
          </cell>
          <cell r="B113" t="str">
            <v>W5B001</v>
          </cell>
          <cell r="C113" t="str">
            <v>Northeast Claiborne Charter</v>
          </cell>
          <cell r="D113">
            <v>18</v>
          </cell>
          <cell r="E113">
            <v>10000</v>
          </cell>
          <cell r="F113">
            <v>10000</v>
          </cell>
        </row>
        <row r="114">
          <cell r="A114" t="str">
            <v>W6B001</v>
          </cell>
          <cell r="B114" t="str">
            <v>W6B001</v>
          </cell>
          <cell r="C114" t="str">
            <v>Acadiana Renaissance</v>
          </cell>
          <cell r="D114">
            <v>54</v>
          </cell>
          <cell r="E114">
            <v>13014</v>
          </cell>
          <cell r="F114">
            <v>10000</v>
          </cell>
        </row>
        <row r="115">
          <cell r="A115" t="str">
            <v>W7A001</v>
          </cell>
          <cell r="B115" t="str">
            <v>W7A001</v>
          </cell>
          <cell r="C115" t="str">
            <v xml:space="preserve">Louisiana Key Academy 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W7B001</v>
          </cell>
          <cell r="B116" t="str">
            <v>W7B001</v>
          </cell>
          <cell r="C116" t="str">
            <v>Lafayette Renaissance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W8A001</v>
          </cell>
          <cell r="B117" t="str">
            <v>W8A001</v>
          </cell>
          <cell r="C117" t="str">
            <v>Impact Charter</v>
          </cell>
          <cell r="D117">
            <v>19</v>
          </cell>
          <cell r="E117">
            <v>4579</v>
          </cell>
          <cell r="F117">
            <v>0</v>
          </cell>
        </row>
        <row r="118">
          <cell r="A118" t="str">
            <v>WAG001</v>
          </cell>
          <cell r="B118" t="str">
            <v>WAG001</v>
          </cell>
          <cell r="C118" t="str">
            <v>Louisiana Virtual Charter Academy</v>
          </cell>
          <cell r="D118">
            <v>259</v>
          </cell>
          <cell r="E118">
            <v>62419</v>
          </cell>
          <cell r="F118">
            <v>46814</v>
          </cell>
        </row>
        <row r="119">
          <cell r="A119" t="str">
            <v>WAK001</v>
          </cell>
          <cell r="B119" t="str">
            <v>WAK001</v>
          </cell>
          <cell r="C119" t="str">
            <v xml:space="preserve">Southwest LA Charter School 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WAL001</v>
          </cell>
          <cell r="B120" t="str">
            <v>WAL001</v>
          </cell>
          <cell r="C120" t="str">
            <v xml:space="preserve">J. S. Clark Leadership Academy </v>
          </cell>
          <cell r="D120">
            <v>91</v>
          </cell>
          <cell r="E120">
            <v>21931</v>
          </cell>
          <cell r="F120">
            <v>16448</v>
          </cell>
        </row>
        <row r="121">
          <cell r="A121" t="str">
            <v>WAU001</v>
          </cell>
          <cell r="B121" t="str">
            <v>WAU001</v>
          </cell>
          <cell r="C121" t="str">
            <v>GEO Prep Academy</v>
          </cell>
          <cell r="D121">
            <v>51</v>
          </cell>
          <cell r="E121">
            <v>12291</v>
          </cell>
          <cell r="F121">
            <v>0</v>
          </cell>
        </row>
        <row r="122">
          <cell r="A122" t="str">
            <v>WBQ001</v>
          </cell>
          <cell r="B122" t="str">
            <v>WBQ001</v>
          </cell>
          <cell r="C122" t="str">
            <v>New Harmony High School</v>
          </cell>
          <cell r="D122">
            <v>0</v>
          </cell>
          <cell r="E122">
            <v>10000</v>
          </cell>
          <cell r="F122">
            <v>10000</v>
          </cell>
        </row>
        <row r="123">
          <cell r="A123" t="str">
            <v>WBR001</v>
          </cell>
          <cell r="B123" t="str">
            <v>WBR001</v>
          </cell>
          <cell r="C123" t="str">
            <v>Athlos Academy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WBX001</v>
          </cell>
          <cell r="B124" t="str">
            <v>WBX001</v>
          </cell>
          <cell r="C124" t="str">
            <v xml:space="preserve">GEO Next Generation HS </v>
          </cell>
          <cell r="D124">
            <v>89</v>
          </cell>
          <cell r="E124">
            <v>21449</v>
          </cell>
          <cell r="F124">
            <v>16087</v>
          </cell>
        </row>
        <row r="125">
          <cell r="A125" t="str">
            <v>WBY001</v>
          </cell>
          <cell r="B125" t="str">
            <v>WBY001</v>
          </cell>
          <cell r="C125" t="str">
            <v>Red River Charter Academy</v>
          </cell>
          <cell r="D125">
            <v>0</v>
          </cell>
          <cell r="E125">
            <v>10000</v>
          </cell>
          <cell r="F125">
            <v>10000</v>
          </cell>
        </row>
        <row r="126">
          <cell r="A126" t="str">
            <v>WJ5001</v>
          </cell>
          <cell r="B126" t="str">
            <v>WJ5001</v>
          </cell>
          <cell r="C126" t="str">
            <v>Collegiate Academy (EBR)</v>
          </cell>
          <cell r="D126">
            <v>0</v>
          </cell>
          <cell r="E126">
            <v>10000</v>
          </cell>
          <cell r="F126">
            <v>10000</v>
          </cell>
        </row>
        <row r="127">
          <cell r="A127" t="str">
            <v>WZ8001</v>
          </cell>
          <cell r="B127" t="str">
            <v>WZ8001</v>
          </cell>
          <cell r="C127" t="str">
            <v>GEO Prep Mid-City of Greater B. R.</v>
          </cell>
          <cell r="D127">
            <v>62</v>
          </cell>
          <cell r="E127">
            <v>14942</v>
          </cell>
          <cell r="F127">
            <v>0</v>
          </cell>
        </row>
        <row r="128">
          <cell r="A128"/>
          <cell r="B128"/>
          <cell r="C128" t="str">
            <v>Total New Type 2 Charter Schools</v>
          </cell>
          <cell r="D128">
            <v>1901</v>
          </cell>
          <cell r="E128">
            <v>535368</v>
          </cell>
          <cell r="F128">
            <v>411370</v>
          </cell>
        </row>
        <row r="129">
          <cell r="A129"/>
          <cell r="B129"/>
          <cell r="C129"/>
          <cell r="D129"/>
          <cell r="E129"/>
          <cell r="F129"/>
        </row>
        <row r="130">
          <cell r="A130">
            <v>396211</v>
          </cell>
          <cell r="B130">
            <v>396211</v>
          </cell>
          <cell r="C130" t="str">
            <v>Linwood Public Charter (RSD Operated)</v>
          </cell>
          <cell r="D130">
            <v>0</v>
          </cell>
          <cell r="E130">
            <v>0</v>
          </cell>
          <cell r="F130">
            <v>0</v>
          </cell>
        </row>
        <row r="131">
          <cell r="A131" t="str">
            <v>WA7001</v>
          </cell>
          <cell r="B131" t="str">
            <v>WA7001</v>
          </cell>
          <cell r="C131" t="str">
            <v>Capitol High School (RSD Operated)</v>
          </cell>
          <cell r="D131">
            <v>230</v>
          </cell>
          <cell r="E131">
            <v>55430</v>
          </cell>
          <cell r="F131">
            <v>41573</v>
          </cell>
        </row>
        <row r="132">
          <cell r="A132" t="str">
            <v>WAO001</v>
          </cell>
          <cell r="B132" t="str">
            <v>3AP003</v>
          </cell>
          <cell r="C132" t="str">
            <v>Redesign Dalton Charter School</v>
          </cell>
          <cell r="D132">
            <v>0</v>
          </cell>
          <cell r="E132">
            <v>0</v>
          </cell>
          <cell r="F132">
            <v>0</v>
          </cell>
        </row>
        <row r="133">
          <cell r="A133" t="str">
            <v>WAP001</v>
          </cell>
          <cell r="B133" t="str">
            <v>3AP001</v>
          </cell>
          <cell r="C133" t="str">
            <v>Redesign Lanier Charter School</v>
          </cell>
          <cell r="D133">
            <v>0</v>
          </cell>
          <cell r="E133">
            <v>0</v>
          </cell>
          <cell r="F133">
            <v>0</v>
          </cell>
        </row>
        <row r="134">
          <cell r="A134" t="str">
            <v>WAV001</v>
          </cell>
          <cell r="B134" t="str">
            <v>WAV001</v>
          </cell>
          <cell r="C134" t="str">
            <v>Democracy Prep</v>
          </cell>
          <cell r="D134">
            <v>0</v>
          </cell>
          <cell r="E134">
            <v>0</v>
          </cell>
          <cell r="F134">
            <v>0</v>
          </cell>
        </row>
        <row r="135">
          <cell r="A135" t="str">
            <v>WB2001</v>
          </cell>
          <cell r="B135">
            <v>389002</v>
          </cell>
          <cell r="C135" t="str">
            <v>Kenilworth Science and Tech</v>
          </cell>
          <cell r="D135">
            <v>0</v>
          </cell>
          <cell r="E135">
            <v>0</v>
          </cell>
          <cell r="F135">
            <v>0</v>
          </cell>
        </row>
        <row r="136">
          <cell r="A136" t="str">
            <v>WYA001</v>
          </cell>
          <cell r="B136" t="str">
            <v>3AP004</v>
          </cell>
          <cell r="C136" t="str">
            <v>Redesign Glen Oaks</v>
          </cell>
          <cell r="D136">
            <v>0</v>
          </cell>
          <cell r="E136">
            <v>0</v>
          </cell>
          <cell r="F136">
            <v>0</v>
          </cell>
        </row>
        <row r="137">
          <cell r="A137"/>
          <cell r="B137"/>
          <cell r="C137" t="str">
            <v>Total RSD/Type 5 Charters</v>
          </cell>
          <cell r="D137">
            <v>230</v>
          </cell>
          <cell r="E137">
            <v>55430</v>
          </cell>
          <cell r="F137">
            <v>41573</v>
          </cell>
        </row>
        <row r="138">
          <cell r="A138"/>
          <cell r="B138"/>
          <cell r="C138"/>
          <cell r="D138"/>
          <cell r="E138"/>
          <cell r="F138"/>
        </row>
        <row r="139">
          <cell r="A139"/>
          <cell r="B139"/>
          <cell r="C139" t="str">
            <v>Total Statewide</v>
          </cell>
          <cell r="D139">
            <v>86948.5</v>
          </cell>
          <cell r="E139">
            <v>21161258</v>
          </cell>
          <cell r="F139">
            <v>15960804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MFP_SCA"/>
      <sheetName val="Feb MFP_SCA_036"/>
      <sheetName val="Feb MFP_mer"/>
      <sheetName val="Feb MFP"/>
    </sheetNames>
    <sheetDataSet>
      <sheetData sheetId="0">
        <row r="4">
          <cell r="B4">
            <v>1</v>
          </cell>
          <cell r="C4" t="str">
            <v>Acadia</v>
          </cell>
          <cell r="D4">
            <v>707</v>
          </cell>
          <cell r="E4">
            <v>702</v>
          </cell>
          <cell r="F4">
            <v>25</v>
          </cell>
          <cell r="G4">
            <v>696</v>
          </cell>
          <cell r="H4">
            <v>678</v>
          </cell>
          <cell r="I4">
            <v>571</v>
          </cell>
          <cell r="J4">
            <v>535</v>
          </cell>
          <cell r="K4">
            <v>3914</v>
          </cell>
        </row>
        <row r="5">
          <cell r="B5">
            <v>2</v>
          </cell>
          <cell r="C5" t="str">
            <v>Allen</v>
          </cell>
          <cell r="D5">
            <v>325</v>
          </cell>
          <cell r="E5">
            <v>346</v>
          </cell>
          <cell r="F5">
            <v>0</v>
          </cell>
          <cell r="G5">
            <v>303</v>
          </cell>
          <cell r="H5">
            <v>288</v>
          </cell>
          <cell r="I5">
            <v>251</v>
          </cell>
          <cell r="J5">
            <v>278</v>
          </cell>
          <cell r="K5">
            <v>1791</v>
          </cell>
        </row>
        <row r="6">
          <cell r="B6">
            <v>3</v>
          </cell>
          <cell r="C6" t="str">
            <v>Ascension</v>
          </cell>
          <cell r="D6">
            <v>1751</v>
          </cell>
          <cell r="E6">
            <v>1873</v>
          </cell>
          <cell r="F6">
            <v>135</v>
          </cell>
          <cell r="G6">
            <v>1770</v>
          </cell>
          <cell r="H6">
            <v>1760</v>
          </cell>
          <cell r="I6">
            <v>1761</v>
          </cell>
          <cell r="J6">
            <v>1494</v>
          </cell>
          <cell r="K6">
            <v>10544</v>
          </cell>
        </row>
        <row r="7">
          <cell r="B7">
            <v>4</v>
          </cell>
          <cell r="C7" t="str">
            <v>Assumption</v>
          </cell>
          <cell r="D7">
            <v>227</v>
          </cell>
          <cell r="E7">
            <v>248</v>
          </cell>
          <cell r="F7">
            <v>58</v>
          </cell>
          <cell r="G7">
            <v>210</v>
          </cell>
          <cell r="H7">
            <v>227</v>
          </cell>
          <cell r="I7">
            <v>210</v>
          </cell>
          <cell r="J7">
            <v>198</v>
          </cell>
          <cell r="K7">
            <v>1378</v>
          </cell>
        </row>
        <row r="8">
          <cell r="B8">
            <v>5</v>
          </cell>
          <cell r="C8" t="str">
            <v>Avoyelles</v>
          </cell>
          <cell r="D8">
            <v>346</v>
          </cell>
          <cell r="E8">
            <v>342</v>
          </cell>
          <cell r="F8">
            <v>27</v>
          </cell>
          <cell r="G8">
            <v>405</v>
          </cell>
          <cell r="H8">
            <v>398</v>
          </cell>
          <cell r="I8">
            <v>404</v>
          </cell>
          <cell r="J8">
            <v>300</v>
          </cell>
          <cell r="K8">
            <v>2222</v>
          </cell>
        </row>
        <row r="9">
          <cell r="B9">
            <v>6</v>
          </cell>
          <cell r="C9" t="str">
            <v>Beauregard</v>
          </cell>
          <cell r="D9">
            <v>425</v>
          </cell>
          <cell r="E9">
            <v>475</v>
          </cell>
          <cell r="F9">
            <v>1</v>
          </cell>
          <cell r="G9">
            <v>452</v>
          </cell>
          <cell r="H9">
            <v>418</v>
          </cell>
          <cell r="I9">
            <v>355</v>
          </cell>
          <cell r="J9">
            <v>385</v>
          </cell>
          <cell r="K9">
            <v>2511</v>
          </cell>
        </row>
        <row r="10">
          <cell r="B10">
            <v>7</v>
          </cell>
          <cell r="C10" t="str">
            <v>Bienville</v>
          </cell>
          <cell r="D10">
            <v>158</v>
          </cell>
          <cell r="E10">
            <v>160</v>
          </cell>
          <cell r="F10">
            <v>1</v>
          </cell>
          <cell r="G10">
            <v>159</v>
          </cell>
          <cell r="H10">
            <v>137</v>
          </cell>
          <cell r="I10">
            <v>155</v>
          </cell>
          <cell r="J10">
            <v>140</v>
          </cell>
          <cell r="K10">
            <v>910</v>
          </cell>
        </row>
        <row r="11">
          <cell r="B11">
            <v>8</v>
          </cell>
          <cell r="C11" t="str">
            <v>Bossier</v>
          </cell>
          <cell r="D11">
            <v>1764</v>
          </cell>
          <cell r="E11">
            <v>1690</v>
          </cell>
          <cell r="F11">
            <v>183</v>
          </cell>
          <cell r="G11">
            <v>1571</v>
          </cell>
          <cell r="H11">
            <v>1732</v>
          </cell>
          <cell r="I11">
            <v>1522</v>
          </cell>
          <cell r="J11">
            <v>1322</v>
          </cell>
          <cell r="K11">
            <v>9784</v>
          </cell>
        </row>
        <row r="12">
          <cell r="B12">
            <v>9</v>
          </cell>
          <cell r="C12" t="str">
            <v>Caddo</v>
          </cell>
          <cell r="D12">
            <v>2717</v>
          </cell>
          <cell r="E12">
            <v>2673</v>
          </cell>
          <cell r="F12">
            <v>347</v>
          </cell>
          <cell r="G12">
            <v>2600</v>
          </cell>
          <cell r="H12">
            <v>2916</v>
          </cell>
          <cell r="I12">
            <v>2577</v>
          </cell>
          <cell r="J12">
            <v>2538</v>
          </cell>
          <cell r="K12">
            <v>16368</v>
          </cell>
        </row>
        <row r="13">
          <cell r="B13">
            <v>10</v>
          </cell>
          <cell r="C13" t="str">
            <v>Calcasieu</v>
          </cell>
          <cell r="D13">
            <v>2014</v>
          </cell>
          <cell r="E13">
            <v>2169</v>
          </cell>
          <cell r="F13">
            <v>92</v>
          </cell>
          <cell r="G13">
            <v>2096</v>
          </cell>
          <cell r="H13">
            <v>2134</v>
          </cell>
          <cell r="I13">
            <v>1924</v>
          </cell>
          <cell r="J13">
            <v>1893</v>
          </cell>
          <cell r="K13">
            <v>12322</v>
          </cell>
        </row>
        <row r="14">
          <cell r="B14">
            <v>11</v>
          </cell>
          <cell r="C14" t="str">
            <v>Caldwell</v>
          </cell>
          <cell r="D14">
            <v>135</v>
          </cell>
          <cell r="E14">
            <v>108</v>
          </cell>
          <cell r="F14">
            <v>13</v>
          </cell>
          <cell r="G14">
            <v>113</v>
          </cell>
          <cell r="H14">
            <v>120</v>
          </cell>
          <cell r="I14">
            <v>96</v>
          </cell>
          <cell r="J14">
            <v>91</v>
          </cell>
          <cell r="K14">
            <v>676</v>
          </cell>
        </row>
        <row r="15">
          <cell r="B15">
            <v>12</v>
          </cell>
          <cell r="C15" t="str">
            <v>Cameron</v>
          </cell>
          <cell r="D15">
            <v>88</v>
          </cell>
          <cell r="E15">
            <v>99</v>
          </cell>
          <cell r="F15">
            <v>0</v>
          </cell>
          <cell r="G15">
            <v>87</v>
          </cell>
          <cell r="H15">
            <v>77</v>
          </cell>
          <cell r="I15">
            <v>89</v>
          </cell>
          <cell r="J15">
            <v>89</v>
          </cell>
          <cell r="K15">
            <v>529</v>
          </cell>
        </row>
        <row r="16">
          <cell r="B16">
            <v>13</v>
          </cell>
          <cell r="C16" t="str">
            <v>Catahoula</v>
          </cell>
          <cell r="D16">
            <v>90</v>
          </cell>
          <cell r="E16">
            <v>92</v>
          </cell>
          <cell r="F16">
            <v>0</v>
          </cell>
          <cell r="G16">
            <v>79</v>
          </cell>
          <cell r="H16">
            <v>106</v>
          </cell>
          <cell r="I16">
            <v>73</v>
          </cell>
          <cell r="J16">
            <v>54</v>
          </cell>
          <cell r="K16">
            <v>494</v>
          </cell>
        </row>
        <row r="17">
          <cell r="B17">
            <v>14</v>
          </cell>
          <cell r="C17" t="str">
            <v>Claiborne</v>
          </cell>
          <cell r="D17">
            <v>128</v>
          </cell>
          <cell r="E17">
            <v>127</v>
          </cell>
          <cell r="F17">
            <v>0</v>
          </cell>
          <cell r="G17">
            <v>115</v>
          </cell>
          <cell r="H17">
            <v>108</v>
          </cell>
          <cell r="I17">
            <v>99</v>
          </cell>
          <cell r="J17">
            <v>91</v>
          </cell>
          <cell r="K17">
            <v>668</v>
          </cell>
        </row>
        <row r="18">
          <cell r="B18">
            <v>15</v>
          </cell>
          <cell r="C18" t="str">
            <v>Concordia</v>
          </cell>
          <cell r="D18">
            <v>275</v>
          </cell>
          <cell r="E18">
            <v>229</v>
          </cell>
          <cell r="F18">
            <v>0</v>
          </cell>
          <cell r="G18">
            <v>246</v>
          </cell>
          <cell r="H18">
            <v>228</v>
          </cell>
          <cell r="I18">
            <v>227</v>
          </cell>
          <cell r="J18">
            <v>211</v>
          </cell>
          <cell r="K18">
            <v>1416</v>
          </cell>
        </row>
        <row r="19">
          <cell r="B19">
            <v>16</v>
          </cell>
          <cell r="C19" t="str">
            <v>DeSoto</v>
          </cell>
          <cell r="D19">
            <v>366</v>
          </cell>
          <cell r="E19">
            <v>403</v>
          </cell>
          <cell r="F19">
            <v>9</v>
          </cell>
          <cell r="G19">
            <v>401</v>
          </cell>
          <cell r="H19">
            <v>357</v>
          </cell>
          <cell r="I19">
            <v>349</v>
          </cell>
          <cell r="J19">
            <v>300</v>
          </cell>
          <cell r="K19">
            <v>2185</v>
          </cell>
        </row>
        <row r="20">
          <cell r="B20">
            <v>17</v>
          </cell>
          <cell r="C20" t="str">
            <v>East Baton Rouge</v>
          </cell>
          <cell r="D20">
            <v>2974</v>
          </cell>
          <cell r="E20">
            <v>2898</v>
          </cell>
          <cell r="F20">
            <v>37</v>
          </cell>
          <cell r="G20">
            <v>2841</v>
          </cell>
          <cell r="H20">
            <v>2796</v>
          </cell>
          <cell r="I20">
            <v>2546</v>
          </cell>
          <cell r="J20">
            <v>2381</v>
          </cell>
          <cell r="K20">
            <v>16473</v>
          </cell>
        </row>
        <row r="21">
          <cell r="B21">
            <v>18</v>
          </cell>
          <cell r="C21" t="str">
            <v>East Carroll</v>
          </cell>
          <cell r="D21">
            <v>60</v>
          </cell>
          <cell r="E21">
            <v>76</v>
          </cell>
          <cell r="F21">
            <v>10</v>
          </cell>
          <cell r="G21">
            <v>69</v>
          </cell>
          <cell r="H21">
            <v>47</v>
          </cell>
          <cell r="I21">
            <v>64</v>
          </cell>
          <cell r="J21">
            <v>44</v>
          </cell>
          <cell r="K21">
            <v>370</v>
          </cell>
        </row>
        <row r="22">
          <cell r="B22">
            <v>19</v>
          </cell>
          <cell r="C22" t="str">
            <v>East Feliciana</v>
          </cell>
          <cell r="D22">
            <v>133</v>
          </cell>
          <cell r="E22">
            <v>136</v>
          </cell>
          <cell r="F22">
            <v>17</v>
          </cell>
          <cell r="G22">
            <v>123</v>
          </cell>
          <cell r="H22">
            <v>144</v>
          </cell>
          <cell r="I22">
            <v>99</v>
          </cell>
          <cell r="J22">
            <v>118</v>
          </cell>
          <cell r="K22">
            <v>770</v>
          </cell>
        </row>
        <row r="23">
          <cell r="B23">
            <v>20</v>
          </cell>
          <cell r="C23" t="str">
            <v>Evangeline</v>
          </cell>
          <cell r="D23">
            <v>448</v>
          </cell>
          <cell r="E23">
            <v>442</v>
          </cell>
          <cell r="F23">
            <v>9</v>
          </cell>
          <cell r="G23">
            <v>415</v>
          </cell>
          <cell r="H23">
            <v>414</v>
          </cell>
          <cell r="I23">
            <v>371</v>
          </cell>
          <cell r="J23">
            <v>335</v>
          </cell>
          <cell r="K23">
            <v>2434</v>
          </cell>
        </row>
        <row r="24">
          <cell r="B24">
            <v>21</v>
          </cell>
          <cell r="C24" t="str">
            <v>Franklin</v>
          </cell>
          <cell r="D24">
            <v>243</v>
          </cell>
          <cell r="E24">
            <v>218</v>
          </cell>
          <cell r="F24">
            <v>0</v>
          </cell>
          <cell r="G24">
            <v>226</v>
          </cell>
          <cell r="H24">
            <v>221</v>
          </cell>
          <cell r="I24">
            <v>190</v>
          </cell>
          <cell r="J24">
            <v>132</v>
          </cell>
          <cell r="K24">
            <v>1230</v>
          </cell>
        </row>
        <row r="25">
          <cell r="B25">
            <v>22</v>
          </cell>
          <cell r="C25" t="str">
            <v>Grant</v>
          </cell>
          <cell r="D25">
            <v>239</v>
          </cell>
          <cell r="E25">
            <v>248</v>
          </cell>
          <cell r="F25">
            <v>8</v>
          </cell>
          <cell r="G25">
            <v>229</v>
          </cell>
          <cell r="H25">
            <v>223</v>
          </cell>
          <cell r="I25">
            <v>200</v>
          </cell>
          <cell r="J25">
            <v>131</v>
          </cell>
          <cell r="K25">
            <v>1278</v>
          </cell>
        </row>
        <row r="26">
          <cell r="B26">
            <v>23</v>
          </cell>
          <cell r="C26" t="str">
            <v>Iberia</v>
          </cell>
          <cell r="D26">
            <v>867</v>
          </cell>
          <cell r="E26">
            <v>931</v>
          </cell>
          <cell r="F26">
            <v>126</v>
          </cell>
          <cell r="G26">
            <v>809</v>
          </cell>
          <cell r="H26">
            <v>836</v>
          </cell>
          <cell r="I26">
            <v>793</v>
          </cell>
          <cell r="J26">
            <v>749</v>
          </cell>
          <cell r="K26">
            <v>5111</v>
          </cell>
        </row>
        <row r="27">
          <cell r="B27">
            <v>24</v>
          </cell>
          <cell r="C27" t="str">
            <v>Iberville</v>
          </cell>
          <cell r="D27">
            <v>328</v>
          </cell>
          <cell r="E27">
            <v>295</v>
          </cell>
          <cell r="F27">
            <v>56</v>
          </cell>
          <cell r="G27">
            <v>365</v>
          </cell>
          <cell r="H27">
            <v>252</v>
          </cell>
          <cell r="I27">
            <v>307</v>
          </cell>
          <cell r="J27">
            <v>275</v>
          </cell>
          <cell r="K27">
            <v>1878</v>
          </cell>
        </row>
        <row r="28">
          <cell r="B28">
            <v>25</v>
          </cell>
          <cell r="C28" t="str">
            <v>Jackson</v>
          </cell>
          <cell r="D28">
            <v>173</v>
          </cell>
          <cell r="E28">
            <v>160</v>
          </cell>
          <cell r="F28">
            <v>0</v>
          </cell>
          <cell r="G28">
            <v>170</v>
          </cell>
          <cell r="H28">
            <v>163</v>
          </cell>
          <cell r="I28">
            <v>141</v>
          </cell>
          <cell r="J28">
            <v>154</v>
          </cell>
          <cell r="K28">
            <v>961</v>
          </cell>
        </row>
        <row r="29">
          <cell r="B29">
            <v>26</v>
          </cell>
          <cell r="C29" t="str">
            <v>Jefferson</v>
          </cell>
          <cell r="D29">
            <v>3794</v>
          </cell>
          <cell r="E29">
            <v>3616</v>
          </cell>
          <cell r="F29">
            <v>752</v>
          </cell>
          <cell r="G29">
            <v>2957</v>
          </cell>
          <cell r="H29">
            <v>3403</v>
          </cell>
          <cell r="I29">
            <v>2986</v>
          </cell>
          <cell r="J29">
            <v>2621</v>
          </cell>
          <cell r="K29">
            <v>20129</v>
          </cell>
        </row>
        <row r="30">
          <cell r="B30">
            <v>27</v>
          </cell>
          <cell r="C30" t="str">
            <v>Jefferson Davis</v>
          </cell>
          <cell r="D30">
            <v>410</v>
          </cell>
          <cell r="E30">
            <v>442</v>
          </cell>
          <cell r="F30">
            <v>0</v>
          </cell>
          <cell r="G30">
            <v>437</v>
          </cell>
          <cell r="H30">
            <v>402</v>
          </cell>
          <cell r="I30">
            <v>401</v>
          </cell>
          <cell r="J30">
            <v>403</v>
          </cell>
          <cell r="K30">
            <v>2495</v>
          </cell>
        </row>
        <row r="31">
          <cell r="B31">
            <v>28</v>
          </cell>
          <cell r="C31" t="str">
            <v>Lafayette</v>
          </cell>
          <cell r="D31">
            <v>2420</v>
          </cell>
          <cell r="E31">
            <v>2323</v>
          </cell>
          <cell r="F31">
            <v>704</v>
          </cell>
          <cell r="G31">
            <v>1928</v>
          </cell>
          <cell r="H31">
            <v>2616</v>
          </cell>
          <cell r="I31">
            <v>2413</v>
          </cell>
          <cell r="J31">
            <v>1887</v>
          </cell>
          <cell r="K31">
            <v>14291</v>
          </cell>
        </row>
        <row r="32">
          <cell r="B32">
            <v>29</v>
          </cell>
          <cell r="C32" t="str">
            <v>Lafourche</v>
          </cell>
          <cell r="D32">
            <v>1144</v>
          </cell>
          <cell r="E32">
            <v>1129</v>
          </cell>
          <cell r="F32">
            <v>56</v>
          </cell>
          <cell r="G32">
            <v>997</v>
          </cell>
          <cell r="H32">
            <v>1103</v>
          </cell>
          <cell r="I32">
            <v>953</v>
          </cell>
          <cell r="J32">
            <v>843</v>
          </cell>
          <cell r="K32">
            <v>6225</v>
          </cell>
        </row>
        <row r="33">
          <cell r="B33">
            <v>30</v>
          </cell>
          <cell r="C33" t="str">
            <v>LaSalle</v>
          </cell>
          <cell r="D33">
            <v>191</v>
          </cell>
          <cell r="E33">
            <v>181</v>
          </cell>
          <cell r="F33">
            <v>0</v>
          </cell>
          <cell r="G33">
            <v>208</v>
          </cell>
          <cell r="H33">
            <v>186</v>
          </cell>
          <cell r="I33">
            <v>164</v>
          </cell>
          <cell r="J33">
            <v>174</v>
          </cell>
          <cell r="K33">
            <v>1104</v>
          </cell>
        </row>
        <row r="34">
          <cell r="B34">
            <v>31</v>
          </cell>
          <cell r="C34" t="str">
            <v>Lincoln</v>
          </cell>
          <cell r="D34">
            <v>423</v>
          </cell>
          <cell r="E34">
            <v>433</v>
          </cell>
          <cell r="F34">
            <v>123</v>
          </cell>
          <cell r="G34">
            <v>360</v>
          </cell>
          <cell r="H34">
            <v>450</v>
          </cell>
          <cell r="I34">
            <v>378</v>
          </cell>
          <cell r="J34">
            <v>373</v>
          </cell>
          <cell r="K34">
            <v>2540</v>
          </cell>
        </row>
        <row r="35">
          <cell r="B35">
            <v>32</v>
          </cell>
          <cell r="C35" t="str">
            <v>Livingston</v>
          </cell>
          <cell r="D35">
            <v>2083</v>
          </cell>
          <cell r="E35">
            <v>2122</v>
          </cell>
          <cell r="F35">
            <v>88</v>
          </cell>
          <cell r="G35">
            <v>1999</v>
          </cell>
          <cell r="H35">
            <v>1921</v>
          </cell>
          <cell r="I35">
            <v>1741</v>
          </cell>
          <cell r="J35">
            <v>1504</v>
          </cell>
          <cell r="K35">
            <v>11458</v>
          </cell>
        </row>
        <row r="36">
          <cell r="B36">
            <v>33</v>
          </cell>
          <cell r="C36" t="str">
            <v>Madison</v>
          </cell>
          <cell r="D36">
            <v>89</v>
          </cell>
          <cell r="E36">
            <v>81</v>
          </cell>
          <cell r="F36">
            <v>0</v>
          </cell>
          <cell r="G36">
            <v>120</v>
          </cell>
          <cell r="H36">
            <v>96</v>
          </cell>
          <cell r="I36">
            <v>80</v>
          </cell>
          <cell r="J36">
            <v>71</v>
          </cell>
          <cell r="K36">
            <v>537</v>
          </cell>
        </row>
        <row r="37">
          <cell r="B37">
            <v>34</v>
          </cell>
          <cell r="C37" t="str">
            <v>Morehouse</v>
          </cell>
          <cell r="D37">
            <v>258</v>
          </cell>
          <cell r="E37">
            <v>273</v>
          </cell>
          <cell r="F37">
            <v>5</v>
          </cell>
          <cell r="G37">
            <v>274</v>
          </cell>
          <cell r="H37">
            <v>225</v>
          </cell>
          <cell r="I37">
            <v>210</v>
          </cell>
          <cell r="J37">
            <v>217</v>
          </cell>
          <cell r="K37">
            <v>1462</v>
          </cell>
        </row>
        <row r="38">
          <cell r="B38">
            <v>35</v>
          </cell>
          <cell r="C38" t="str">
            <v>Natchitoches</v>
          </cell>
          <cell r="D38">
            <v>433</v>
          </cell>
          <cell r="E38">
            <v>422</v>
          </cell>
          <cell r="F38">
            <v>0</v>
          </cell>
          <cell r="G38">
            <v>472</v>
          </cell>
          <cell r="H38">
            <v>444</v>
          </cell>
          <cell r="I38">
            <v>387</v>
          </cell>
          <cell r="J38">
            <v>390</v>
          </cell>
          <cell r="K38">
            <v>2548</v>
          </cell>
        </row>
        <row r="39">
          <cell r="B39">
            <v>36</v>
          </cell>
          <cell r="C39" t="str">
            <v>Orleans</v>
          </cell>
          <cell r="D39">
            <v>3620</v>
          </cell>
          <cell r="E39">
            <v>3481</v>
          </cell>
          <cell r="F39">
            <v>76</v>
          </cell>
          <cell r="G39">
            <v>3394</v>
          </cell>
          <cell r="H39">
            <v>3462</v>
          </cell>
          <cell r="I39">
            <v>3112</v>
          </cell>
          <cell r="J39">
            <v>3047</v>
          </cell>
          <cell r="K39">
            <v>20192</v>
          </cell>
        </row>
        <row r="40">
          <cell r="B40">
            <v>37</v>
          </cell>
          <cell r="C40" t="str">
            <v>Ouachita</v>
          </cell>
          <cell r="D40">
            <v>1414</v>
          </cell>
          <cell r="E40">
            <v>1499</v>
          </cell>
          <cell r="F40">
            <v>76</v>
          </cell>
          <cell r="G40">
            <v>1333</v>
          </cell>
          <cell r="H40">
            <v>1402</v>
          </cell>
          <cell r="I40">
            <v>1262</v>
          </cell>
          <cell r="J40">
            <v>1193</v>
          </cell>
          <cell r="K40">
            <v>8179</v>
          </cell>
        </row>
        <row r="41">
          <cell r="B41">
            <v>38</v>
          </cell>
          <cell r="C41" t="str">
            <v>Plaquemines</v>
          </cell>
          <cell r="D41">
            <v>292</v>
          </cell>
          <cell r="E41">
            <v>290</v>
          </cell>
          <cell r="F41">
            <v>15</v>
          </cell>
          <cell r="G41">
            <v>350</v>
          </cell>
          <cell r="H41">
            <v>299</v>
          </cell>
          <cell r="I41">
            <v>312</v>
          </cell>
          <cell r="J41">
            <v>292</v>
          </cell>
          <cell r="K41">
            <v>1850</v>
          </cell>
        </row>
        <row r="42">
          <cell r="B42">
            <v>39</v>
          </cell>
          <cell r="C42" t="str">
            <v>Pointe Coupee</v>
          </cell>
          <cell r="D42">
            <v>194</v>
          </cell>
          <cell r="E42">
            <v>201</v>
          </cell>
          <cell r="F42">
            <v>13</v>
          </cell>
          <cell r="G42">
            <v>211</v>
          </cell>
          <cell r="H42">
            <v>186</v>
          </cell>
          <cell r="I42">
            <v>158</v>
          </cell>
          <cell r="J42">
            <v>140</v>
          </cell>
          <cell r="K42">
            <v>1103</v>
          </cell>
        </row>
        <row r="43">
          <cell r="B43">
            <v>40</v>
          </cell>
          <cell r="C43" t="str">
            <v>Rapides</v>
          </cell>
          <cell r="D43">
            <v>1675</v>
          </cell>
          <cell r="E43">
            <v>1682</v>
          </cell>
          <cell r="F43">
            <v>286</v>
          </cell>
          <cell r="G43">
            <v>1463</v>
          </cell>
          <cell r="H43">
            <v>1634</v>
          </cell>
          <cell r="I43">
            <v>1640</v>
          </cell>
          <cell r="J43">
            <v>1488</v>
          </cell>
          <cell r="K43">
            <v>9868</v>
          </cell>
        </row>
        <row r="44">
          <cell r="B44">
            <v>41</v>
          </cell>
          <cell r="C44" t="str">
            <v>Red River</v>
          </cell>
          <cell r="D44">
            <v>117</v>
          </cell>
          <cell r="E44">
            <v>112</v>
          </cell>
          <cell r="F44">
            <v>0</v>
          </cell>
          <cell r="G44">
            <v>90</v>
          </cell>
          <cell r="H44">
            <v>113</v>
          </cell>
          <cell r="I44">
            <v>98</v>
          </cell>
          <cell r="J44">
            <v>74</v>
          </cell>
          <cell r="K44">
            <v>604</v>
          </cell>
        </row>
        <row r="45">
          <cell r="B45">
            <v>42</v>
          </cell>
          <cell r="C45" t="str">
            <v>Richland</v>
          </cell>
          <cell r="D45">
            <v>237</v>
          </cell>
          <cell r="E45">
            <v>225</v>
          </cell>
          <cell r="F45">
            <v>0</v>
          </cell>
          <cell r="G45">
            <v>212</v>
          </cell>
          <cell r="H45">
            <v>208</v>
          </cell>
          <cell r="I45">
            <v>173</v>
          </cell>
          <cell r="J45">
            <v>175</v>
          </cell>
          <cell r="K45">
            <v>1230</v>
          </cell>
        </row>
        <row r="46">
          <cell r="B46">
            <v>43</v>
          </cell>
          <cell r="C46" t="str">
            <v>Sabine</v>
          </cell>
          <cell r="D46">
            <v>297</v>
          </cell>
          <cell r="E46">
            <v>316</v>
          </cell>
          <cell r="F46">
            <v>0</v>
          </cell>
          <cell r="G46">
            <v>330</v>
          </cell>
          <cell r="H46">
            <v>301</v>
          </cell>
          <cell r="I46">
            <v>325</v>
          </cell>
          <cell r="J46">
            <v>265</v>
          </cell>
          <cell r="K46">
            <v>1834</v>
          </cell>
        </row>
        <row r="47">
          <cell r="B47">
            <v>44</v>
          </cell>
          <cell r="C47" t="str">
            <v>St. Bernard</v>
          </cell>
          <cell r="D47">
            <v>664</v>
          </cell>
          <cell r="E47">
            <v>640</v>
          </cell>
          <cell r="F47">
            <v>3</v>
          </cell>
          <cell r="G47">
            <v>588</v>
          </cell>
          <cell r="H47">
            <v>554</v>
          </cell>
          <cell r="I47">
            <v>562</v>
          </cell>
          <cell r="J47">
            <v>447</v>
          </cell>
          <cell r="K47">
            <v>3458</v>
          </cell>
        </row>
        <row r="48">
          <cell r="B48">
            <v>45</v>
          </cell>
          <cell r="C48" t="str">
            <v>St. Charles</v>
          </cell>
          <cell r="D48">
            <v>728</v>
          </cell>
          <cell r="E48">
            <v>747</v>
          </cell>
          <cell r="F48">
            <v>39</v>
          </cell>
          <cell r="G48">
            <v>724</v>
          </cell>
          <cell r="H48">
            <v>713</v>
          </cell>
          <cell r="I48">
            <v>706</v>
          </cell>
          <cell r="J48">
            <v>596</v>
          </cell>
          <cell r="K48">
            <v>4253</v>
          </cell>
        </row>
        <row r="49">
          <cell r="B49">
            <v>46</v>
          </cell>
          <cell r="C49" t="str">
            <v>St. Helena</v>
          </cell>
          <cell r="D49">
            <v>97</v>
          </cell>
          <cell r="E49">
            <v>66</v>
          </cell>
          <cell r="F49">
            <v>0</v>
          </cell>
          <cell r="G49">
            <v>90</v>
          </cell>
          <cell r="H49">
            <v>83</v>
          </cell>
          <cell r="I49">
            <v>97</v>
          </cell>
          <cell r="J49">
            <v>79</v>
          </cell>
          <cell r="K49">
            <v>512</v>
          </cell>
        </row>
        <row r="50">
          <cell r="B50">
            <v>47</v>
          </cell>
          <cell r="C50" t="str">
            <v>St. James</v>
          </cell>
          <cell r="D50">
            <v>266</v>
          </cell>
          <cell r="E50">
            <v>269</v>
          </cell>
          <cell r="F50">
            <v>24</v>
          </cell>
          <cell r="G50">
            <v>270</v>
          </cell>
          <cell r="H50">
            <v>294</v>
          </cell>
          <cell r="I50">
            <v>214</v>
          </cell>
          <cell r="J50">
            <v>235</v>
          </cell>
          <cell r="K50">
            <v>1572</v>
          </cell>
        </row>
        <row r="51">
          <cell r="B51">
            <v>48</v>
          </cell>
          <cell r="C51" t="str">
            <v>St. John the Baptist</v>
          </cell>
          <cell r="D51">
            <v>492</v>
          </cell>
          <cell r="E51">
            <v>460</v>
          </cell>
          <cell r="F51">
            <v>10</v>
          </cell>
          <cell r="G51">
            <v>414</v>
          </cell>
          <cell r="H51">
            <v>472</v>
          </cell>
          <cell r="I51">
            <v>398</v>
          </cell>
          <cell r="J51">
            <v>300</v>
          </cell>
          <cell r="K51">
            <v>2546</v>
          </cell>
        </row>
        <row r="52">
          <cell r="B52">
            <v>49</v>
          </cell>
          <cell r="C52" t="str">
            <v>St. Landry</v>
          </cell>
          <cell r="D52">
            <v>946</v>
          </cell>
          <cell r="E52">
            <v>917</v>
          </cell>
          <cell r="F52">
            <v>181</v>
          </cell>
          <cell r="G52">
            <v>931</v>
          </cell>
          <cell r="H52">
            <v>853</v>
          </cell>
          <cell r="I52">
            <v>879</v>
          </cell>
          <cell r="J52">
            <v>693</v>
          </cell>
          <cell r="K52">
            <v>5400</v>
          </cell>
        </row>
        <row r="53">
          <cell r="B53">
            <v>50</v>
          </cell>
          <cell r="C53" t="str">
            <v>St. Martin</v>
          </cell>
          <cell r="D53">
            <v>619</v>
          </cell>
          <cell r="E53">
            <v>584</v>
          </cell>
          <cell r="F53">
            <v>0</v>
          </cell>
          <cell r="G53">
            <v>611</v>
          </cell>
          <cell r="H53">
            <v>533</v>
          </cell>
          <cell r="I53">
            <v>489</v>
          </cell>
          <cell r="J53">
            <v>423</v>
          </cell>
          <cell r="K53">
            <v>3259</v>
          </cell>
        </row>
        <row r="54">
          <cell r="B54">
            <v>51</v>
          </cell>
          <cell r="C54" t="str">
            <v>St. Mary</v>
          </cell>
          <cell r="D54">
            <v>619</v>
          </cell>
          <cell r="E54">
            <v>603</v>
          </cell>
          <cell r="F54">
            <v>9</v>
          </cell>
          <cell r="G54">
            <v>612</v>
          </cell>
          <cell r="H54">
            <v>626</v>
          </cell>
          <cell r="I54">
            <v>581</v>
          </cell>
          <cell r="J54">
            <v>563</v>
          </cell>
          <cell r="K54">
            <v>3613</v>
          </cell>
        </row>
        <row r="55">
          <cell r="B55">
            <v>52</v>
          </cell>
          <cell r="C55" t="str">
            <v>St. Tammany</v>
          </cell>
          <cell r="D55">
            <v>3016</v>
          </cell>
          <cell r="E55">
            <v>3104</v>
          </cell>
          <cell r="F55">
            <v>16</v>
          </cell>
          <cell r="G55">
            <v>3179</v>
          </cell>
          <cell r="H55">
            <v>2794</v>
          </cell>
          <cell r="I55">
            <v>2551</v>
          </cell>
          <cell r="J55">
            <v>2544</v>
          </cell>
          <cell r="K55">
            <v>17204</v>
          </cell>
        </row>
        <row r="56">
          <cell r="B56">
            <v>53</v>
          </cell>
          <cell r="C56" t="str">
            <v>Tangipahoa</v>
          </cell>
          <cell r="D56">
            <v>1504</v>
          </cell>
          <cell r="E56">
            <v>1524</v>
          </cell>
          <cell r="F56">
            <v>20</v>
          </cell>
          <cell r="G56">
            <v>1676</v>
          </cell>
          <cell r="H56">
            <v>1529</v>
          </cell>
          <cell r="I56">
            <v>1341</v>
          </cell>
          <cell r="J56">
            <v>1114</v>
          </cell>
          <cell r="K56">
            <v>8708</v>
          </cell>
        </row>
        <row r="57">
          <cell r="B57">
            <v>54</v>
          </cell>
          <cell r="C57" t="str">
            <v>Tensas</v>
          </cell>
          <cell r="D57">
            <v>30</v>
          </cell>
          <cell r="E57">
            <v>24</v>
          </cell>
          <cell r="F57">
            <v>0</v>
          </cell>
          <cell r="G57">
            <v>16</v>
          </cell>
          <cell r="H57">
            <v>28</v>
          </cell>
          <cell r="I57">
            <v>34</v>
          </cell>
          <cell r="J57">
            <v>30</v>
          </cell>
          <cell r="K57">
            <v>162</v>
          </cell>
        </row>
        <row r="58">
          <cell r="B58">
            <v>55</v>
          </cell>
          <cell r="C58" t="str">
            <v>Terrebonne</v>
          </cell>
          <cell r="D58">
            <v>1353</v>
          </cell>
          <cell r="E58">
            <v>1225</v>
          </cell>
          <cell r="F58">
            <v>58</v>
          </cell>
          <cell r="G58">
            <v>1393</v>
          </cell>
          <cell r="H58">
            <v>1139</v>
          </cell>
          <cell r="I58">
            <v>1081</v>
          </cell>
          <cell r="J58">
            <v>981</v>
          </cell>
          <cell r="K58">
            <v>7230</v>
          </cell>
        </row>
        <row r="59">
          <cell r="B59">
            <v>56</v>
          </cell>
          <cell r="C59" t="str">
            <v>Union</v>
          </cell>
          <cell r="D59">
            <v>144</v>
          </cell>
          <cell r="E59">
            <v>149</v>
          </cell>
          <cell r="F59">
            <v>0</v>
          </cell>
          <cell r="G59">
            <v>141</v>
          </cell>
          <cell r="H59">
            <v>176</v>
          </cell>
          <cell r="I59">
            <v>125</v>
          </cell>
          <cell r="J59">
            <v>139</v>
          </cell>
          <cell r="K59">
            <v>874</v>
          </cell>
        </row>
        <row r="60">
          <cell r="B60">
            <v>57</v>
          </cell>
          <cell r="C60" t="str">
            <v>Vermilion</v>
          </cell>
          <cell r="D60">
            <v>739</v>
          </cell>
          <cell r="E60">
            <v>781</v>
          </cell>
          <cell r="F60">
            <v>2</v>
          </cell>
          <cell r="G60">
            <v>709</v>
          </cell>
          <cell r="H60">
            <v>688</v>
          </cell>
          <cell r="I60">
            <v>608</v>
          </cell>
          <cell r="J60">
            <v>549</v>
          </cell>
          <cell r="K60">
            <v>4076</v>
          </cell>
        </row>
        <row r="61">
          <cell r="B61">
            <v>58</v>
          </cell>
          <cell r="C61" t="str">
            <v>Vernon</v>
          </cell>
          <cell r="D61">
            <v>625</v>
          </cell>
          <cell r="E61">
            <v>602</v>
          </cell>
          <cell r="F61">
            <v>12</v>
          </cell>
          <cell r="G61">
            <v>543</v>
          </cell>
          <cell r="H61">
            <v>492</v>
          </cell>
          <cell r="I61">
            <v>471</v>
          </cell>
          <cell r="J61">
            <v>457</v>
          </cell>
          <cell r="K61">
            <v>3202</v>
          </cell>
        </row>
        <row r="62">
          <cell r="B62">
            <v>59</v>
          </cell>
          <cell r="C62" t="str">
            <v>Washington</v>
          </cell>
          <cell r="D62">
            <v>367</v>
          </cell>
          <cell r="E62">
            <v>416</v>
          </cell>
          <cell r="F62">
            <v>73</v>
          </cell>
          <cell r="G62">
            <v>309</v>
          </cell>
          <cell r="H62">
            <v>405</v>
          </cell>
          <cell r="I62">
            <v>350</v>
          </cell>
          <cell r="J62">
            <v>375</v>
          </cell>
          <cell r="K62">
            <v>2295</v>
          </cell>
        </row>
        <row r="63">
          <cell r="B63">
            <v>60</v>
          </cell>
          <cell r="C63" t="str">
            <v>Webster</v>
          </cell>
          <cell r="D63">
            <v>470</v>
          </cell>
          <cell r="E63">
            <v>478</v>
          </cell>
          <cell r="F63">
            <v>0</v>
          </cell>
          <cell r="G63">
            <v>435</v>
          </cell>
          <cell r="H63">
            <v>416</v>
          </cell>
          <cell r="I63">
            <v>425</v>
          </cell>
          <cell r="J63">
            <v>397</v>
          </cell>
          <cell r="K63">
            <v>2621</v>
          </cell>
        </row>
        <row r="64">
          <cell r="B64">
            <v>61</v>
          </cell>
          <cell r="C64" t="str">
            <v>West Baton Rouge</v>
          </cell>
          <cell r="D64">
            <v>299</v>
          </cell>
          <cell r="E64">
            <v>285</v>
          </cell>
          <cell r="F64">
            <v>24</v>
          </cell>
          <cell r="G64">
            <v>304</v>
          </cell>
          <cell r="H64">
            <v>263</v>
          </cell>
          <cell r="I64">
            <v>258</v>
          </cell>
          <cell r="J64">
            <v>250</v>
          </cell>
          <cell r="K64">
            <v>1683</v>
          </cell>
        </row>
        <row r="65">
          <cell r="B65">
            <v>62</v>
          </cell>
          <cell r="C65" t="str">
            <v>West Carroll</v>
          </cell>
          <cell r="D65">
            <v>158</v>
          </cell>
          <cell r="E65">
            <v>157</v>
          </cell>
          <cell r="F65">
            <v>2</v>
          </cell>
          <cell r="G65">
            <v>144</v>
          </cell>
          <cell r="H65">
            <v>136</v>
          </cell>
          <cell r="I65">
            <v>135</v>
          </cell>
          <cell r="J65">
            <v>130</v>
          </cell>
          <cell r="K65">
            <v>862</v>
          </cell>
        </row>
        <row r="66">
          <cell r="B66">
            <v>63</v>
          </cell>
          <cell r="C66" t="str">
            <v>West Feliciana</v>
          </cell>
          <cell r="D66">
            <v>143</v>
          </cell>
          <cell r="E66">
            <v>163</v>
          </cell>
          <cell r="F66">
            <v>11</v>
          </cell>
          <cell r="G66">
            <v>149</v>
          </cell>
          <cell r="H66">
            <v>178</v>
          </cell>
          <cell r="I66">
            <v>152</v>
          </cell>
          <cell r="J66">
            <v>144</v>
          </cell>
          <cell r="K66">
            <v>940</v>
          </cell>
        </row>
        <row r="67">
          <cell r="B67">
            <v>64</v>
          </cell>
          <cell r="C67" t="str">
            <v>Winn</v>
          </cell>
          <cell r="D67">
            <v>150</v>
          </cell>
          <cell r="E67">
            <v>160</v>
          </cell>
          <cell r="F67">
            <v>27</v>
          </cell>
          <cell r="G67">
            <v>116</v>
          </cell>
          <cell r="H67">
            <v>164</v>
          </cell>
          <cell r="I67">
            <v>139</v>
          </cell>
          <cell r="J67">
            <v>131</v>
          </cell>
          <cell r="K67">
            <v>887</v>
          </cell>
        </row>
        <row r="68">
          <cell r="B68">
            <v>65</v>
          </cell>
          <cell r="C68" t="str">
            <v>City of Monroe</v>
          </cell>
          <cell r="D68">
            <v>533</v>
          </cell>
          <cell r="E68">
            <v>583</v>
          </cell>
          <cell r="F68">
            <v>34</v>
          </cell>
          <cell r="G68">
            <v>620</v>
          </cell>
          <cell r="H68">
            <v>605</v>
          </cell>
          <cell r="I68">
            <v>490</v>
          </cell>
          <cell r="J68">
            <v>485</v>
          </cell>
          <cell r="K68">
            <v>3350</v>
          </cell>
        </row>
        <row r="69">
          <cell r="B69">
            <v>66</v>
          </cell>
          <cell r="C69" t="str">
            <v>City of Bogalusa</v>
          </cell>
          <cell r="D69">
            <v>164</v>
          </cell>
          <cell r="E69">
            <v>147</v>
          </cell>
          <cell r="F69">
            <v>0</v>
          </cell>
          <cell r="G69">
            <v>145</v>
          </cell>
          <cell r="H69">
            <v>125</v>
          </cell>
          <cell r="I69">
            <v>104</v>
          </cell>
          <cell r="J69">
            <v>117</v>
          </cell>
          <cell r="K69">
            <v>802</v>
          </cell>
        </row>
        <row r="70">
          <cell r="B70">
            <v>67</v>
          </cell>
          <cell r="C70" t="str">
            <v>Zachary Community</v>
          </cell>
          <cell r="D70">
            <v>419</v>
          </cell>
          <cell r="E70">
            <v>412</v>
          </cell>
          <cell r="F70">
            <v>51</v>
          </cell>
          <cell r="G70">
            <v>382</v>
          </cell>
          <cell r="H70">
            <v>410</v>
          </cell>
          <cell r="I70">
            <v>386</v>
          </cell>
          <cell r="J70">
            <v>384</v>
          </cell>
          <cell r="K70">
            <v>2444</v>
          </cell>
        </row>
        <row r="71">
          <cell r="B71">
            <v>68</v>
          </cell>
          <cell r="C71" t="str">
            <v>City of Baker</v>
          </cell>
          <cell r="D71">
            <v>90</v>
          </cell>
          <cell r="E71">
            <v>81</v>
          </cell>
          <cell r="F71">
            <v>30</v>
          </cell>
          <cell r="G71">
            <v>79</v>
          </cell>
          <cell r="H71">
            <v>116</v>
          </cell>
          <cell r="I71">
            <v>109</v>
          </cell>
          <cell r="J71">
            <v>109</v>
          </cell>
          <cell r="K71">
            <v>614</v>
          </cell>
        </row>
        <row r="72">
          <cell r="B72">
            <v>69</v>
          </cell>
          <cell r="C72" t="str">
            <v>Central Community</v>
          </cell>
          <cell r="D72">
            <v>405</v>
          </cell>
          <cell r="E72">
            <v>384</v>
          </cell>
          <cell r="F72">
            <v>40</v>
          </cell>
          <cell r="G72">
            <v>365</v>
          </cell>
          <cell r="H72">
            <v>354</v>
          </cell>
          <cell r="I72">
            <v>332</v>
          </cell>
          <cell r="J72">
            <v>343</v>
          </cell>
          <cell r="K72">
            <v>2223</v>
          </cell>
        </row>
        <row r="73">
          <cell r="B73">
            <v>318</v>
          </cell>
          <cell r="C73" t="str">
            <v>LSU Laboratory School</v>
          </cell>
          <cell r="D73">
            <v>118</v>
          </cell>
          <cell r="E73">
            <v>115</v>
          </cell>
          <cell r="F73">
            <v>0</v>
          </cell>
          <cell r="G73">
            <v>117</v>
          </cell>
          <cell r="H73">
            <v>108</v>
          </cell>
          <cell r="I73">
            <v>118</v>
          </cell>
          <cell r="J73">
            <v>113</v>
          </cell>
          <cell r="K73">
            <v>689</v>
          </cell>
        </row>
        <row r="74">
          <cell r="B74">
            <v>319</v>
          </cell>
          <cell r="C74" t="str">
            <v>Southern University Lab School</v>
          </cell>
          <cell r="D74">
            <v>51</v>
          </cell>
          <cell r="E74">
            <v>55</v>
          </cell>
          <cell r="F74">
            <v>0</v>
          </cell>
          <cell r="G74">
            <v>68</v>
          </cell>
          <cell r="H74">
            <v>55</v>
          </cell>
          <cell r="I74">
            <v>58</v>
          </cell>
          <cell r="J74">
            <v>58</v>
          </cell>
          <cell r="K74">
            <v>345</v>
          </cell>
        </row>
        <row r="75">
          <cell r="B75">
            <v>302006</v>
          </cell>
          <cell r="C75" t="str">
            <v>Louisiana School for Math Science &amp; the Arts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84</v>
          </cell>
          <cell r="I75">
            <v>97</v>
          </cell>
          <cell r="J75">
            <v>130</v>
          </cell>
          <cell r="K75">
            <v>311</v>
          </cell>
        </row>
        <row r="76">
          <cell r="B76">
            <v>321001</v>
          </cell>
          <cell r="C76" t="str">
            <v>New Vision Learning Academy</v>
          </cell>
          <cell r="D76"/>
          <cell r="E76"/>
          <cell r="F76"/>
          <cell r="G76"/>
          <cell r="H76"/>
          <cell r="I76"/>
          <cell r="J76"/>
          <cell r="K76">
            <v>0</v>
          </cell>
        </row>
        <row r="77">
          <cell r="B77">
            <v>329001</v>
          </cell>
          <cell r="C77" t="str">
            <v>V. B. Glencoe Charter School</v>
          </cell>
          <cell r="D77">
            <v>31</v>
          </cell>
          <cell r="E77">
            <v>34</v>
          </cell>
          <cell r="F77"/>
          <cell r="G77">
            <v>18</v>
          </cell>
          <cell r="H77">
            <v>16</v>
          </cell>
          <cell r="I77"/>
          <cell r="J77"/>
          <cell r="K77">
            <v>99</v>
          </cell>
        </row>
        <row r="78">
          <cell r="B78">
            <v>331001</v>
          </cell>
          <cell r="C78" t="str">
            <v>International School of Louisiana</v>
          </cell>
          <cell r="D78">
            <v>106</v>
          </cell>
          <cell r="E78">
            <v>94</v>
          </cell>
          <cell r="F78"/>
          <cell r="G78"/>
          <cell r="H78"/>
          <cell r="I78"/>
          <cell r="J78"/>
          <cell r="K78">
            <v>200</v>
          </cell>
        </row>
        <row r="79">
          <cell r="B79">
            <v>333001</v>
          </cell>
          <cell r="C79" t="str">
            <v>Avoyelles Public Charter School</v>
          </cell>
          <cell r="D79">
            <v>46</v>
          </cell>
          <cell r="E79">
            <v>48</v>
          </cell>
          <cell r="F79"/>
          <cell r="G79">
            <v>48</v>
          </cell>
          <cell r="H79">
            <v>53</v>
          </cell>
          <cell r="I79">
            <v>57</v>
          </cell>
          <cell r="J79">
            <v>58</v>
          </cell>
          <cell r="K79">
            <v>310</v>
          </cell>
        </row>
        <row r="80">
          <cell r="B80">
            <v>334001</v>
          </cell>
          <cell r="C80" t="str">
            <v>New Orleans Center for Creative Arts</v>
          </cell>
          <cell r="D80"/>
          <cell r="E80"/>
          <cell r="F80"/>
          <cell r="G80">
            <v>66</v>
          </cell>
          <cell r="H80">
            <v>54</v>
          </cell>
          <cell r="I80">
            <v>59</v>
          </cell>
          <cell r="J80">
            <v>58</v>
          </cell>
          <cell r="K80">
            <v>237</v>
          </cell>
        </row>
        <row r="81">
          <cell r="B81">
            <v>336001</v>
          </cell>
          <cell r="C81" t="str">
            <v>Delhi Charter School</v>
          </cell>
          <cell r="D81">
            <v>68</v>
          </cell>
          <cell r="E81">
            <v>68</v>
          </cell>
          <cell r="F81"/>
          <cell r="G81">
            <v>61</v>
          </cell>
          <cell r="H81">
            <v>61</v>
          </cell>
          <cell r="I81">
            <v>54</v>
          </cell>
          <cell r="J81">
            <v>62</v>
          </cell>
          <cell r="K81">
            <v>374</v>
          </cell>
        </row>
        <row r="82">
          <cell r="B82">
            <v>337001</v>
          </cell>
          <cell r="C82" t="str">
            <v>Belle Chasse Academy</v>
          </cell>
          <cell r="D82">
            <v>83</v>
          </cell>
          <cell r="E82">
            <v>82</v>
          </cell>
          <cell r="F82"/>
          <cell r="G82"/>
          <cell r="H82"/>
          <cell r="I82"/>
          <cell r="J82"/>
          <cell r="K82">
            <v>165</v>
          </cell>
        </row>
        <row r="83">
          <cell r="B83">
            <v>340001</v>
          </cell>
          <cell r="C83" t="str">
            <v>The MAX Charter School</v>
          </cell>
          <cell r="D83">
            <v>16</v>
          </cell>
          <cell r="E83">
            <v>12</v>
          </cell>
          <cell r="F83"/>
          <cell r="G83"/>
          <cell r="H83"/>
          <cell r="I83"/>
          <cell r="J83"/>
          <cell r="K83">
            <v>28</v>
          </cell>
        </row>
        <row r="84">
          <cell r="B84">
            <v>341001</v>
          </cell>
          <cell r="C84" t="str">
            <v>D'Arbonne Woods Charter School</v>
          </cell>
          <cell r="D84">
            <v>75</v>
          </cell>
          <cell r="E84">
            <v>69</v>
          </cell>
          <cell r="F84"/>
          <cell r="G84">
            <v>72</v>
          </cell>
          <cell r="H84">
            <v>73</v>
          </cell>
          <cell r="I84">
            <v>70</v>
          </cell>
          <cell r="J84">
            <v>51</v>
          </cell>
          <cell r="K84">
            <v>410</v>
          </cell>
        </row>
        <row r="85">
          <cell r="B85">
            <v>343001</v>
          </cell>
          <cell r="C85" t="str">
            <v>Madison Preparatory Academy</v>
          </cell>
          <cell r="D85"/>
          <cell r="E85"/>
          <cell r="F85"/>
          <cell r="G85">
            <v>156</v>
          </cell>
          <cell r="H85">
            <v>152</v>
          </cell>
          <cell r="I85">
            <v>142</v>
          </cell>
          <cell r="J85">
            <v>142</v>
          </cell>
          <cell r="K85">
            <v>592</v>
          </cell>
        </row>
        <row r="86">
          <cell r="B86">
            <v>344001</v>
          </cell>
          <cell r="C86" t="str">
            <v>International High School of New Orleans</v>
          </cell>
          <cell r="D86"/>
          <cell r="E86"/>
          <cell r="F86"/>
          <cell r="G86">
            <v>108</v>
          </cell>
          <cell r="H86">
            <v>88</v>
          </cell>
          <cell r="I86">
            <v>92</v>
          </cell>
          <cell r="J86">
            <v>91</v>
          </cell>
          <cell r="K86">
            <v>379</v>
          </cell>
        </row>
        <row r="87">
          <cell r="B87">
            <v>345001</v>
          </cell>
          <cell r="C87" t="str">
            <v>University View Academy, Inc. (FRM LA Connections)</v>
          </cell>
          <cell r="D87">
            <v>383</v>
          </cell>
          <cell r="E87">
            <v>378</v>
          </cell>
          <cell r="F87">
            <v>32</v>
          </cell>
          <cell r="G87">
            <v>367</v>
          </cell>
          <cell r="H87">
            <v>372</v>
          </cell>
          <cell r="I87">
            <v>346</v>
          </cell>
          <cell r="J87">
            <v>333</v>
          </cell>
          <cell r="K87">
            <v>2211</v>
          </cell>
        </row>
        <row r="88">
          <cell r="B88">
            <v>346001</v>
          </cell>
          <cell r="C88" t="str">
            <v>Lake Charles Charter Academy</v>
          </cell>
          <cell r="D88">
            <v>112</v>
          </cell>
          <cell r="E88">
            <v>107</v>
          </cell>
          <cell r="F88"/>
          <cell r="G88"/>
          <cell r="H88"/>
          <cell r="I88"/>
          <cell r="J88"/>
          <cell r="K88">
            <v>219</v>
          </cell>
        </row>
        <row r="89">
          <cell r="B89">
            <v>347001</v>
          </cell>
          <cell r="C89" t="str">
            <v>Lycee Francais de la Nouvelle-Orleans</v>
          </cell>
          <cell r="D89">
            <v>101</v>
          </cell>
          <cell r="E89">
            <v>68</v>
          </cell>
          <cell r="F89"/>
          <cell r="G89">
            <v>30</v>
          </cell>
          <cell r="H89">
            <v>18</v>
          </cell>
          <cell r="I89"/>
          <cell r="J89"/>
          <cell r="K89">
            <v>217</v>
          </cell>
        </row>
        <row r="90">
          <cell r="B90">
            <v>348001</v>
          </cell>
          <cell r="C90" t="str">
            <v>New Orleans Military &amp; Maritime Academy</v>
          </cell>
          <cell r="D90"/>
          <cell r="E90">
            <v>191</v>
          </cell>
          <cell r="F90">
            <v>3</v>
          </cell>
          <cell r="G90">
            <v>232</v>
          </cell>
          <cell r="H90">
            <v>206</v>
          </cell>
          <cell r="I90">
            <v>207</v>
          </cell>
          <cell r="J90">
            <v>159</v>
          </cell>
          <cell r="K90">
            <v>998</v>
          </cell>
        </row>
        <row r="91">
          <cell r="B91">
            <v>396211</v>
          </cell>
          <cell r="C91" t="str">
            <v>Linwood Charter School</v>
          </cell>
          <cell r="D91">
            <v>103</v>
          </cell>
          <cell r="E91">
            <v>92</v>
          </cell>
          <cell r="F91"/>
          <cell r="G91"/>
          <cell r="H91"/>
          <cell r="I91"/>
          <cell r="J91"/>
          <cell r="K91">
            <v>195</v>
          </cell>
        </row>
        <row r="92">
          <cell r="B92" t="str">
            <v>3C1001</v>
          </cell>
          <cell r="C92" t="str">
            <v>Thrive Academy</v>
          </cell>
          <cell r="D92">
            <v>18</v>
          </cell>
          <cell r="E92">
            <v>26</v>
          </cell>
          <cell r="F92"/>
          <cell r="G92">
            <v>46</v>
          </cell>
          <cell r="H92">
            <v>34</v>
          </cell>
          <cell r="I92">
            <v>23</v>
          </cell>
          <cell r="J92">
            <v>22</v>
          </cell>
          <cell r="K92">
            <v>169</v>
          </cell>
        </row>
        <row r="93">
          <cell r="B93" t="str">
            <v>W18001</v>
          </cell>
          <cell r="C93" t="str">
            <v>Noble Minds</v>
          </cell>
          <cell r="D93"/>
          <cell r="E93"/>
          <cell r="F93"/>
          <cell r="G93"/>
          <cell r="H93"/>
          <cell r="I93"/>
          <cell r="J93"/>
          <cell r="K93">
            <v>0</v>
          </cell>
        </row>
        <row r="94">
          <cell r="B94" t="str">
            <v>W1A001</v>
          </cell>
          <cell r="C94" t="str">
            <v>JCFA-East</v>
          </cell>
          <cell r="D94"/>
          <cell r="E94">
            <v>2</v>
          </cell>
          <cell r="F94">
            <v>6</v>
          </cell>
          <cell r="G94">
            <v>57</v>
          </cell>
          <cell r="H94">
            <v>38</v>
          </cell>
          <cell r="I94">
            <v>56</v>
          </cell>
          <cell r="J94">
            <v>24</v>
          </cell>
          <cell r="K94">
            <v>183</v>
          </cell>
        </row>
        <row r="95">
          <cell r="B95" t="str">
            <v>W1B001</v>
          </cell>
          <cell r="C95" t="str">
            <v>Advantage Charter Academy</v>
          </cell>
          <cell r="D95">
            <v>84</v>
          </cell>
          <cell r="E95">
            <v>70</v>
          </cell>
          <cell r="F95"/>
          <cell r="G95"/>
          <cell r="H95"/>
          <cell r="I95"/>
          <cell r="J95"/>
          <cell r="K95">
            <v>154</v>
          </cell>
        </row>
        <row r="96">
          <cell r="B96" t="str">
            <v>W1D001</v>
          </cell>
          <cell r="C96" t="str">
            <v>JCFA Lafayette</v>
          </cell>
          <cell r="D96"/>
          <cell r="E96"/>
          <cell r="F96">
            <v>1</v>
          </cell>
          <cell r="G96">
            <v>21</v>
          </cell>
          <cell r="H96">
            <v>19</v>
          </cell>
          <cell r="I96">
            <v>21</v>
          </cell>
          <cell r="J96">
            <v>5</v>
          </cell>
          <cell r="K96">
            <v>67</v>
          </cell>
        </row>
        <row r="97">
          <cell r="B97" t="str">
            <v>W2B001</v>
          </cell>
          <cell r="C97" t="str">
            <v>Willow Charter Academy</v>
          </cell>
          <cell r="D97">
            <v>67</v>
          </cell>
          <cell r="E97">
            <v>53</v>
          </cell>
          <cell r="F97"/>
          <cell r="G97"/>
          <cell r="H97"/>
          <cell r="I97"/>
          <cell r="J97"/>
          <cell r="K97">
            <v>120</v>
          </cell>
        </row>
        <row r="98">
          <cell r="B98" t="str">
            <v>W33001</v>
          </cell>
          <cell r="C98" t="str">
            <v>Lincoln Preparatory School</v>
          </cell>
          <cell r="D98">
            <v>36</v>
          </cell>
          <cell r="E98">
            <v>41</v>
          </cell>
          <cell r="F98"/>
          <cell r="G98">
            <v>55</v>
          </cell>
          <cell r="H98">
            <v>49</v>
          </cell>
          <cell r="I98">
            <v>46</v>
          </cell>
          <cell r="J98">
            <v>42</v>
          </cell>
          <cell r="K98">
            <v>269</v>
          </cell>
        </row>
        <row r="99">
          <cell r="B99" t="str">
            <v>W3B001</v>
          </cell>
          <cell r="C99" t="str">
            <v>Iberville Charter Academy</v>
          </cell>
          <cell r="D99">
            <v>68</v>
          </cell>
          <cell r="E99">
            <v>54</v>
          </cell>
          <cell r="F99"/>
          <cell r="G99"/>
          <cell r="H99"/>
          <cell r="I99"/>
          <cell r="J99"/>
          <cell r="K99">
            <v>122</v>
          </cell>
        </row>
        <row r="100">
          <cell r="B100" t="str">
            <v>W4A001</v>
          </cell>
          <cell r="C100" t="str">
            <v>Delta Charter School MST</v>
          </cell>
          <cell r="D100">
            <v>39</v>
          </cell>
          <cell r="E100">
            <v>47</v>
          </cell>
          <cell r="F100"/>
          <cell r="G100">
            <v>38</v>
          </cell>
          <cell r="H100">
            <v>38</v>
          </cell>
          <cell r="I100">
            <v>26</v>
          </cell>
          <cell r="J100">
            <v>28</v>
          </cell>
          <cell r="K100">
            <v>216</v>
          </cell>
        </row>
        <row r="101">
          <cell r="B101" t="str">
            <v>W4B001</v>
          </cell>
          <cell r="C101" t="str">
            <v>Lake Charles College Prep</v>
          </cell>
          <cell r="D101"/>
          <cell r="E101"/>
          <cell r="F101"/>
          <cell r="G101">
            <v>153</v>
          </cell>
          <cell r="H101">
            <v>123</v>
          </cell>
          <cell r="I101">
            <v>116</v>
          </cell>
          <cell r="J101">
            <v>112</v>
          </cell>
          <cell r="K101">
            <v>504</v>
          </cell>
        </row>
        <row r="102">
          <cell r="B102" t="str">
            <v>W5B001</v>
          </cell>
          <cell r="C102" t="str">
            <v>Northeast Claiborne Charter</v>
          </cell>
          <cell r="D102">
            <v>14</v>
          </cell>
          <cell r="E102">
            <v>10</v>
          </cell>
          <cell r="F102"/>
          <cell r="G102">
            <v>18</v>
          </cell>
          <cell r="H102">
            <v>14</v>
          </cell>
          <cell r="I102">
            <v>9</v>
          </cell>
          <cell r="J102">
            <v>10</v>
          </cell>
          <cell r="K102">
            <v>75</v>
          </cell>
        </row>
        <row r="103">
          <cell r="B103" t="str">
            <v>W6B001</v>
          </cell>
          <cell r="C103" t="str">
            <v>Acadiana Renaissance Charter Academy</v>
          </cell>
          <cell r="D103">
            <v>110</v>
          </cell>
          <cell r="E103">
            <v>108</v>
          </cell>
          <cell r="F103">
            <v>3</v>
          </cell>
          <cell r="G103">
            <v>121</v>
          </cell>
          <cell r="H103">
            <v>4</v>
          </cell>
          <cell r="I103">
            <v>7</v>
          </cell>
          <cell r="J103">
            <v>2</v>
          </cell>
          <cell r="K103">
            <v>355</v>
          </cell>
        </row>
        <row r="104">
          <cell r="B104" t="str">
            <v>W7A001</v>
          </cell>
          <cell r="C104" t="str">
            <v>Louisiana Key Academy</v>
          </cell>
          <cell r="D104">
            <v>47</v>
          </cell>
          <cell r="E104">
            <v>46</v>
          </cell>
          <cell r="F104"/>
          <cell r="G104"/>
          <cell r="H104"/>
          <cell r="I104"/>
          <cell r="J104"/>
          <cell r="K104">
            <v>93</v>
          </cell>
        </row>
        <row r="105">
          <cell r="B105" t="str">
            <v>W7B001</v>
          </cell>
          <cell r="C105" t="str">
            <v>Lafayette Renaissance Charter Academy</v>
          </cell>
          <cell r="D105">
            <v>123</v>
          </cell>
          <cell r="E105">
            <v>103</v>
          </cell>
          <cell r="F105"/>
          <cell r="G105"/>
          <cell r="H105"/>
          <cell r="I105"/>
          <cell r="J105"/>
          <cell r="K105">
            <v>226</v>
          </cell>
        </row>
        <row r="106">
          <cell r="B106" t="str">
            <v>W8A001</v>
          </cell>
          <cell r="C106" t="str">
            <v>Impact Charter School</v>
          </cell>
          <cell r="D106">
            <v>42</v>
          </cell>
          <cell r="E106">
            <v>37</v>
          </cell>
          <cell r="F106"/>
          <cell r="G106"/>
          <cell r="H106"/>
          <cell r="I106"/>
          <cell r="J106"/>
          <cell r="K106">
            <v>79</v>
          </cell>
        </row>
        <row r="107">
          <cell r="B107" t="str">
            <v>WA7001</v>
          </cell>
          <cell r="C107" t="str">
            <v>Capitol High School</v>
          </cell>
          <cell r="D107"/>
          <cell r="E107"/>
          <cell r="F107">
            <v>1</v>
          </cell>
          <cell r="G107">
            <v>88</v>
          </cell>
          <cell r="H107">
            <v>77</v>
          </cell>
          <cell r="I107">
            <v>80</v>
          </cell>
          <cell r="J107">
            <v>91</v>
          </cell>
          <cell r="K107">
            <v>337</v>
          </cell>
        </row>
        <row r="108">
          <cell r="B108" t="str">
            <v>WAG001</v>
          </cell>
          <cell r="C108" t="str">
            <v>Louisiana Virtual Charter Academy</v>
          </cell>
          <cell r="D108">
            <v>218</v>
          </cell>
          <cell r="E108">
            <v>215</v>
          </cell>
          <cell r="F108">
            <v>22</v>
          </cell>
          <cell r="G108">
            <v>183</v>
          </cell>
          <cell r="H108">
            <v>197</v>
          </cell>
          <cell r="I108">
            <v>179</v>
          </cell>
          <cell r="J108">
            <v>82</v>
          </cell>
          <cell r="K108">
            <v>1096</v>
          </cell>
        </row>
        <row r="109">
          <cell r="B109" t="str">
            <v>WAK001</v>
          </cell>
          <cell r="C109" t="str">
            <v>Southwest Louisiana Charter Academy</v>
          </cell>
          <cell r="D109">
            <v>80</v>
          </cell>
          <cell r="E109">
            <v>76</v>
          </cell>
          <cell r="F109"/>
          <cell r="G109"/>
          <cell r="H109"/>
          <cell r="I109"/>
          <cell r="J109"/>
          <cell r="K109">
            <v>156</v>
          </cell>
        </row>
        <row r="110">
          <cell r="B110" t="str">
            <v>WAL001</v>
          </cell>
          <cell r="C110" t="str">
            <v>JS Clark Leadership Academy</v>
          </cell>
          <cell r="D110">
            <v>29</v>
          </cell>
          <cell r="E110">
            <v>33</v>
          </cell>
          <cell r="F110"/>
          <cell r="G110">
            <v>27</v>
          </cell>
          <cell r="H110">
            <v>23</v>
          </cell>
          <cell r="I110">
            <v>23</v>
          </cell>
          <cell r="J110">
            <v>32</v>
          </cell>
          <cell r="K110">
            <v>167</v>
          </cell>
        </row>
        <row r="111">
          <cell r="B111" t="str">
            <v>WAO001</v>
          </cell>
          <cell r="C111" t="str">
            <v>Dalton Charter School</v>
          </cell>
          <cell r="D111"/>
          <cell r="E111"/>
          <cell r="F111"/>
          <cell r="G111"/>
          <cell r="H111"/>
          <cell r="I111"/>
          <cell r="J111"/>
          <cell r="K111">
            <v>0</v>
          </cell>
        </row>
        <row r="112">
          <cell r="B112" t="str">
            <v>WAP001</v>
          </cell>
          <cell r="C112" t="str">
            <v>Lanier Charter School</v>
          </cell>
          <cell r="D112"/>
          <cell r="E112"/>
          <cell r="F112"/>
          <cell r="G112"/>
          <cell r="H112"/>
          <cell r="I112"/>
          <cell r="J112"/>
          <cell r="K112">
            <v>0</v>
          </cell>
        </row>
        <row r="113">
          <cell r="B113" t="str">
            <v>WAQ001</v>
          </cell>
          <cell r="C113" t="str">
            <v>Baton Rouge University Preparatory Elementary</v>
          </cell>
          <cell r="D113"/>
          <cell r="E113"/>
          <cell r="F113"/>
          <cell r="G113"/>
          <cell r="H113"/>
          <cell r="I113"/>
          <cell r="J113"/>
          <cell r="K113">
            <v>0</v>
          </cell>
        </row>
        <row r="114">
          <cell r="B114" t="str">
            <v>WAU001</v>
          </cell>
          <cell r="C114" t="str">
            <v>GEO Prep Academy of Greater Baton Rouge</v>
          </cell>
          <cell r="D114">
            <v>72</v>
          </cell>
          <cell r="E114">
            <v>63</v>
          </cell>
          <cell r="F114"/>
          <cell r="G114"/>
          <cell r="H114"/>
          <cell r="I114"/>
          <cell r="J114"/>
          <cell r="K114">
            <v>135</v>
          </cell>
        </row>
        <row r="115">
          <cell r="B115" t="str">
            <v>WAV001</v>
          </cell>
          <cell r="C115" t="str">
            <v>Democracy Prep Baton Rouge</v>
          </cell>
          <cell r="D115">
            <v>59</v>
          </cell>
          <cell r="E115">
            <v>59</v>
          </cell>
          <cell r="F115"/>
          <cell r="G115"/>
          <cell r="H115"/>
          <cell r="I115"/>
          <cell r="J115"/>
          <cell r="K115">
            <v>118</v>
          </cell>
        </row>
        <row r="116">
          <cell r="B116" t="str">
            <v>WB2001</v>
          </cell>
          <cell r="C116" t="str">
            <v>Kenilworth Science and Technology Charter School</v>
          </cell>
          <cell r="D116">
            <v>147</v>
          </cell>
          <cell r="E116">
            <v>132</v>
          </cell>
          <cell r="F116"/>
          <cell r="G116"/>
          <cell r="H116"/>
          <cell r="I116"/>
          <cell r="J116"/>
          <cell r="K116">
            <v>279</v>
          </cell>
        </row>
        <row r="117">
          <cell r="B117" t="str">
            <v>WBQ001</v>
          </cell>
          <cell r="C117" t="str">
            <v>New Harmony High Institute</v>
          </cell>
          <cell r="D117"/>
          <cell r="E117"/>
          <cell r="F117"/>
          <cell r="G117">
            <v>68</v>
          </cell>
          <cell r="H117">
            <v>57</v>
          </cell>
          <cell r="I117">
            <v>45</v>
          </cell>
          <cell r="J117"/>
          <cell r="K117">
            <v>170</v>
          </cell>
        </row>
        <row r="118">
          <cell r="B118" t="str">
            <v>WBR001</v>
          </cell>
          <cell r="C118" t="str">
            <v>Athlos Academy of Jefferson Parish</v>
          </cell>
          <cell r="D118">
            <v>144</v>
          </cell>
          <cell r="E118">
            <v>108</v>
          </cell>
          <cell r="F118"/>
          <cell r="G118"/>
          <cell r="H118"/>
          <cell r="I118"/>
          <cell r="J118"/>
          <cell r="K118">
            <v>252</v>
          </cell>
        </row>
        <row r="119">
          <cell r="B119" t="str">
            <v>WBX001</v>
          </cell>
          <cell r="C119" t="str">
            <v>GEO Next Generation High School</v>
          </cell>
          <cell r="D119"/>
          <cell r="E119"/>
          <cell r="F119"/>
          <cell r="G119">
            <v>108</v>
          </cell>
          <cell r="H119">
            <v>87</v>
          </cell>
          <cell r="I119"/>
          <cell r="J119"/>
          <cell r="K119">
            <v>195</v>
          </cell>
        </row>
        <row r="120">
          <cell r="B120" t="str">
            <v>WBY001</v>
          </cell>
          <cell r="C120" t="str">
            <v>Red River Charter Academy</v>
          </cell>
          <cell r="D120">
            <v>77</v>
          </cell>
          <cell r="E120">
            <v>76</v>
          </cell>
          <cell r="F120"/>
          <cell r="G120">
            <v>54</v>
          </cell>
          <cell r="H120"/>
          <cell r="I120"/>
          <cell r="J120"/>
          <cell r="K120">
            <v>207</v>
          </cell>
        </row>
        <row r="121">
          <cell r="B121" t="str">
            <v>WJ5001</v>
          </cell>
          <cell r="C121" t="str">
            <v>Collegiate Baton Rouge</v>
          </cell>
          <cell r="D121"/>
          <cell r="E121"/>
          <cell r="F121"/>
          <cell r="G121">
            <v>102</v>
          </cell>
          <cell r="H121">
            <v>107</v>
          </cell>
          <cell r="I121">
            <v>145</v>
          </cell>
          <cell r="J121">
            <v>108</v>
          </cell>
          <cell r="K121">
            <v>462</v>
          </cell>
        </row>
        <row r="122">
          <cell r="B122" t="str">
            <v>WYA001</v>
          </cell>
          <cell r="C122" t="str">
            <v>Glen Oaks Middle School</v>
          </cell>
          <cell r="D122">
            <v>75</v>
          </cell>
          <cell r="E122">
            <v>79</v>
          </cell>
          <cell r="F122"/>
          <cell r="G122"/>
          <cell r="H122"/>
          <cell r="I122"/>
          <cell r="J122"/>
          <cell r="K122">
            <v>154</v>
          </cell>
        </row>
        <row r="123">
          <cell r="B123" t="str">
            <v>A02</v>
          </cell>
          <cell r="C123" t="str">
            <v>OJJ</v>
          </cell>
          <cell r="D123">
            <v>3</v>
          </cell>
          <cell r="E123">
            <v>14</v>
          </cell>
          <cell r="F123">
            <v>0</v>
          </cell>
          <cell r="G123">
            <v>52</v>
          </cell>
          <cell r="H123">
            <v>53</v>
          </cell>
          <cell r="I123">
            <v>25</v>
          </cell>
          <cell r="J123">
            <v>24</v>
          </cell>
          <cell r="K123">
            <v>171</v>
          </cell>
        </row>
        <row r="124">
          <cell r="B124" t="str">
            <v>WZ8001</v>
          </cell>
          <cell r="C124" t="str">
            <v>GEO Prep Mid-City of Greater Baton Rouge</v>
          </cell>
          <cell r="D124">
            <v>71</v>
          </cell>
          <cell r="E124">
            <v>60</v>
          </cell>
          <cell r="F124"/>
          <cell r="G124"/>
          <cell r="H124"/>
          <cell r="I124"/>
          <cell r="J124"/>
          <cell r="K124">
            <v>131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FINAL (2)"/>
      <sheetName val="FINAL (3)"/>
      <sheetName val="Sheet3"/>
      <sheetName val="Sheet4"/>
      <sheetName val="MFP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1</v>
          </cell>
          <cell r="B7">
            <v>1</v>
          </cell>
          <cell r="C7" t="str">
            <v>Acadia</v>
          </cell>
          <cell r="D7">
            <v>725.538917294974</v>
          </cell>
          <cell r="E7">
            <v>484.99999999999898</v>
          </cell>
        </row>
        <row r="8">
          <cell r="A8">
            <v>2</v>
          </cell>
          <cell r="B8">
            <v>2</v>
          </cell>
          <cell r="C8" t="str">
            <v>Allen</v>
          </cell>
          <cell r="D8">
            <v>381</v>
          </cell>
          <cell r="E8">
            <v>234.99999999999901</v>
          </cell>
        </row>
        <row r="9">
          <cell r="A9">
            <v>3</v>
          </cell>
          <cell r="B9">
            <v>3</v>
          </cell>
          <cell r="C9" t="str">
            <v>Ascension</v>
          </cell>
          <cell r="D9">
            <v>1849.1331501809643</v>
          </cell>
          <cell r="E9">
            <v>1201</v>
          </cell>
        </row>
        <row r="10">
          <cell r="A10">
            <v>4</v>
          </cell>
          <cell r="B10">
            <v>4</v>
          </cell>
          <cell r="C10" t="str">
            <v>Assumption</v>
          </cell>
          <cell r="D10">
            <v>256.719882258979</v>
          </cell>
          <cell r="E10">
            <v>186.77999999999997</v>
          </cell>
        </row>
        <row r="11">
          <cell r="A11">
            <v>5</v>
          </cell>
          <cell r="B11">
            <v>5</v>
          </cell>
          <cell r="C11" t="str">
            <v>Avoyelles</v>
          </cell>
          <cell r="D11">
            <v>340.82214421200001</v>
          </cell>
          <cell r="E11">
            <v>266</v>
          </cell>
        </row>
        <row r="12">
          <cell r="A12">
            <v>6</v>
          </cell>
          <cell r="B12">
            <v>6</v>
          </cell>
          <cell r="C12" t="str">
            <v>Beauregard</v>
          </cell>
          <cell r="D12">
            <v>477.50904676438199</v>
          </cell>
          <cell r="E12">
            <v>305.67860947128599</v>
          </cell>
        </row>
        <row r="13">
          <cell r="A13">
            <v>7</v>
          </cell>
          <cell r="B13">
            <v>7</v>
          </cell>
          <cell r="C13" t="str">
            <v>Bienville</v>
          </cell>
          <cell r="D13">
            <v>227.01649995055101</v>
          </cell>
          <cell r="E13">
            <v>171.73223742239898</v>
          </cell>
        </row>
        <row r="14">
          <cell r="A14">
            <v>8</v>
          </cell>
          <cell r="B14">
            <v>8</v>
          </cell>
          <cell r="C14" t="str">
            <v>Bossier</v>
          </cell>
          <cell r="D14">
            <v>1935</v>
          </cell>
          <cell r="E14">
            <v>1226</v>
          </cell>
        </row>
        <row r="15">
          <cell r="A15">
            <v>9</v>
          </cell>
          <cell r="B15">
            <v>9</v>
          </cell>
          <cell r="C15" t="str">
            <v>Caddo</v>
          </cell>
          <cell r="D15">
            <v>2692.3973515424382</v>
          </cell>
          <cell r="E15">
            <v>2258.7425757171077</v>
          </cell>
        </row>
        <row r="16">
          <cell r="A16">
            <v>10</v>
          </cell>
          <cell r="B16">
            <v>10</v>
          </cell>
          <cell r="C16" t="str">
            <v>Calcasieu</v>
          </cell>
          <cell r="D16">
            <v>3026.9807387435703</v>
          </cell>
          <cell r="E16">
            <v>1686.6884473359219</v>
          </cell>
        </row>
        <row r="17">
          <cell r="A17">
            <v>11</v>
          </cell>
          <cell r="B17">
            <v>11</v>
          </cell>
          <cell r="C17" t="str">
            <v>Caldwell</v>
          </cell>
          <cell r="D17">
            <v>153.19394685725098</v>
          </cell>
          <cell r="E17">
            <v>117.963807004689</v>
          </cell>
        </row>
        <row r="18">
          <cell r="A18">
            <v>12</v>
          </cell>
          <cell r="B18">
            <v>12</v>
          </cell>
          <cell r="C18" t="str">
            <v>Cameron</v>
          </cell>
          <cell r="D18">
            <v>167.25145755226703</v>
          </cell>
          <cell r="E18">
            <v>92.764707868332991</v>
          </cell>
        </row>
        <row r="19">
          <cell r="A19">
            <v>13</v>
          </cell>
          <cell r="B19">
            <v>13</v>
          </cell>
          <cell r="C19" t="str">
            <v>Catahoula</v>
          </cell>
          <cell r="D19">
            <v>89.64670894462401</v>
          </cell>
          <cell r="E19">
            <v>98.452494477320002</v>
          </cell>
        </row>
        <row r="20">
          <cell r="A20">
            <v>14</v>
          </cell>
          <cell r="B20">
            <v>14</v>
          </cell>
          <cell r="C20" t="str">
            <v>Claiborne</v>
          </cell>
          <cell r="D20">
            <v>138.05992025003303</v>
          </cell>
          <cell r="E20">
            <v>134.940079749923</v>
          </cell>
        </row>
        <row r="21">
          <cell r="A21">
            <v>15</v>
          </cell>
          <cell r="B21">
            <v>15</v>
          </cell>
          <cell r="C21" t="str">
            <v>Concordia</v>
          </cell>
          <cell r="D21">
            <v>296.98</v>
          </cell>
          <cell r="E21">
            <v>209</v>
          </cell>
        </row>
        <row r="22">
          <cell r="A22">
            <v>16</v>
          </cell>
          <cell r="B22">
            <v>16</v>
          </cell>
          <cell r="C22" t="str">
            <v>DeSoto</v>
          </cell>
          <cell r="D22">
            <v>413</v>
          </cell>
          <cell r="E22">
            <v>310</v>
          </cell>
        </row>
        <row r="23">
          <cell r="A23">
            <v>17</v>
          </cell>
          <cell r="B23">
            <v>17</v>
          </cell>
          <cell r="C23" t="str">
            <v>East Baton Rouge</v>
          </cell>
          <cell r="D23">
            <v>3759.5276785699398</v>
          </cell>
          <cell r="E23">
            <v>2225.5664222069968</v>
          </cell>
        </row>
        <row r="24">
          <cell r="A24">
            <v>18</v>
          </cell>
          <cell r="B24">
            <v>18</v>
          </cell>
          <cell r="C24" t="str">
            <v>East Carroll</v>
          </cell>
          <cell r="D24">
            <v>73.255584935881984</v>
          </cell>
          <cell r="E24">
            <v>70.744415064089992</v>
          </cell>
        </row>
        <row r="25">
          <cell r="A25">
            <v>19</v>
          </cell>
          <cell r="B25">
            <v>19</v>
          </cell>
          <cell r="C25" t="str">
            <v>East Feliciana</v>
          </cell>
          <cell r="D25">
            <v>163</v>
          </cell>
          <cell r="E25">
            <v>112</v>
          </cell>
        </row>
        <row r="26">
          <cell r="A26">
            <v>20</v>
          </cell>
          <cell r="B26">
            <v>20</v>
          </cell>
          <cell r="C26" t="str">
            <v>Evangeline</v>
          </cell>
          <cell r="D26">
            <v>478.76494766997399</v>
          </cell>
          <cell r="E26">
            <v>266</v>
          </cell>
        </row>
        <row r="27">
          <cell r="A27">
            <v>21</v>
          </cell>
          <cell r="B27">
            <v>21</v>
          </cell>
          <cell r="C27" t="str">
            <v>Franklin</v>
          </cell>
          <cell r="D27">
            <v>248.59626906330703</v>
          </cell>
          <cell r="E27">
            <v>207.54718547543197</v>
          </cell>
        </row>
        <row r="28">
          <cell r="A28">
            <v>22</v>
          </cell>
          <cell r="B28">
            <v>22</v>
          </cell>
          <cell r="C28" t="str">
            <v>Grant</v>
          </cell>
          <cell r="D28">
            <v>257.33290315897301</v>
          </cell>
          <cell r="E28">
            <v>155.98567209098701</v>
          </cell>
        </row>
        <row r="29">
          <cell r="A29">
            <v>23</v>
          </cell>
          <cell r="B29">
            <v>23</v>
          </cell>
          <cell r="C29" t="str">
            <v>Iberia</v>
          </cell>
          <cell r="D29">
            <v>1024.1019613709641</v>
          </cell>
          <cell r="E29">
            <v>585.65909090900004</v>
          </cell>
        </row>
        <row r="30">
          <cell r="A30">
            <v>24</v>
          </cell>
          <cell r="B30">
            <v>24</v>
          </cell>
          <cell r="C30" t="str">
            <v>Iberville</v>
          </cell>
          <cell r="D30">
            <v>452.70643641999999</v>
          </cell>
          <cell r="E30">
            <v>338</v>
          </cell>
        </row>
        <row r="31">
          <cell r="A31">
            <v>25</v>
          </cell>
          <cell r="B31">
            <v>25</v>
          </cell>
          <cell r="C31" t="str">
            <v>Jackson</v>
          </cell>
          <cell r="D31">
            <v>198.04819327727</v>
          </cell>
          <cell r="E31">
            <v>135.99999999999901</v>
          </cell>
        </row>
        <row r="32">
          <cell r="A32">
            <v>26</v>
          </cell>
          <cell r="B32">
            <v>26</v>
          </cell>
          <cell r="C32" t="str">
            <v>Jefferson</v>
          </cell>
          <cell r="D32">
            <v>4133.4338612675547</v>
          </cell>
          <cell r="E32">
            <v>2281.1678267757648</v>
          </cell>
        </row>
        <row r="33">
          <cell r="A33">
            <v>27</v>
          </cell>
          <cell r="B33">
            <v>27</v>
          </cell>
          <cell r="C33" t="str">
            <v>Jefferson Davis</v>
          </cell>
          <cell r="D33">
            <v>440.59167501898696</v>
          </cell>
          <cell r="E33">
            <v>323.17206697499802</v>
          </cell>
        </row>
        <row r="34">
          <cell r="A34">
            <v>28</v>
          </cell>
          <cell r="B34">
            <v>28</v>
          </cell>
          <cell r="C34" t="str">
            <v>Lafayette</v>
          </cell>
          <cell r="D34">
            <v>2456.0880559818229</v>
          </cell>
          <cell r="E34">
            <v>1810</v>
          </cell>
        </row>
        <row r="35">
          <cell r="A35">
            <v>29</v>
          </cell>
          <cell r="B35">
            <v>29</v>
          </cell>
          <cell r="C35" t="str">
            <v>Lafourche</v>
          </cell>
          <cell r="D35">
            <v>1093.9956956326221</v>
          </cell>
          <cell r="E35">
            <v>752.47840619986096</v>
          </cell>
        </row>
        <row r="36">
          <cell r="A36">
            <v>30</v>
          </cell>
          <cell r="B36">
            <v>30</v>
          </cell>
          <cell r="C36" t="str">
            <v>LaSalle</v>
          </cell>
          <cell r="D36">
            <v>215.33687997801599</v>
          </cell>
          <cell r="E36">
            <v>169.666594551278</v>
          </cell>
        </row>
        <row r="37">
          <cell r="A37">
            <v>31</v>
          </cell>
          <cell r="B37">
            <v>31</v>
          </cell>
          <cell r="C37" t="str">
            <v>Lincoln</v>
          </cell>
          <cell r="D37">
            <v>534.58333333330097</v>
          </cell>
          <cell r="E37">
            <v>377.91666666666197</v>
          </cell>
        </row>
        <row r="38">
          <cell r="A38">
            <v>32</v>
          </cell>
          <cell r="B38">
            <v>32</v>
          </cell>
          <cell r="C38" t="str">
            <v>Livingston</v>
          </cell>
          <cell r="D38">
            <v>2077.5808548288819</v>
          </cell>
          <cell r="E38">
            <v>1545.3272866237812</v>
          </cell>
        </row>
        <row r="39">
          <cell r="A39">
            <v>33</v>
          </cell>
          <cell r="B39">
            <v>33</v>
          </cell>
          <cell r="C39" t="str">
            <v>Madison</v>
          </cell>
          <cell r="D39">
            <v>103.746637751466</v>
          </cell>
          <cell r="E39">
            <v>95.782553971813996</v>
          </cell>
        </row>
        <row r="40">
          <cell r="A40">
            <v>34</v>
          </cell>
          <cell r="B40">
            <v>34</v>
          </cell>
          <cell r="C40" t="str">
            <v>Morehouse</v>
          </cell>
          <cell r="D40">
            <v>270.77014230701906</v>
          </cell>
          <cell r="E40">
            <v>200.22985769290298</v>
          </cell>
        </row>
        <row r="41">
          <cell r="A41">
            <v>35</v>
          </cell>
          <cell r="B41">
            <v>35</v>
          </cell>
          <cell r="C41" t="str">
            <v>Natchitoches</v>
          </cell>
          <cell r="D41">
            <v>548.84999999992397</v>
          </cell>
          <cell r="E41">
            <v>219.99999999999801</v>
          </cell>
        </row>
        <row r="42">
          <cell r="A42">
            <v>36</v>
          </cell>
          <cell r="B42">
            <v>36</v>
          </cell>
          <cell r="C42" t="str">
            <v>Orleans</v>
          </cell>
          <cell r="D42">
            <v>4088.3401594442976</v>
          </cell>
          <cell r="E42">
            <v>1953.7023803995799</v>
          </cell>
        </row>
        <row r="43">
          <cell r="A43">
            <v>37</v>
          </cell>
          <cell r="B43">
            <v>37</v>
          </cell>
          <cell r="C43" t="str">
            <v>Ouachita</v>
          </cell>
          <cell r="D43">
            <v>1566.2937984429241</v>
          </cell>
          <cell r="E43">
            <v>1302.847641697979</v>
          </cell>
        </row>
        <row r="44">
          <cell r="A44">
            <v>38</v>
          </cell>
          <cell r="B44">
            <v>38</v>
          </cell>
          <cell r="C44" t="str">
            <v>Plaquemines</v>
          </cell>
          <cell r="D44">
            <v>353.78111587900003</v>
          </cell>
          <cell r="E44">
            <v>295</v>
          </cell>
        </row>
        <row r="45">
          <cell r="A45">
            <v>39</v>
          </cell>
          <cell r="B45">
            <v>39</v>
          </cell>
          <cell r="C45" t="str">
            <v>Pointe Coupee</v>
          </cell>
          <cell r="D45">
            <v>167.00392464399999</v>
          </cell>
          <cell r="E45">
            <v>104</v>
          </cell>
        </row>
        <row r="46">
          <cell r="A46">
            <v>40</v>
          </cell>
          <cell r="B46">
            <v>40</v>
          </cell>
          <cell r="C46" t="str">
            <v>Rapides</v>
          </cell>
          <cell r="D46">
            <v>1968.5999999999831</v>
          </cell>
          <cell r="E46">
            <v>1175.85128205</v>
          </cell>
        </row>
        <row r="47">
          <cell r="A47">
            <v>41</v>
          </cell>
          <cell r="B47">
            <v>41</v>
          </cell>
          <cell r="C47" t="str">
            <v>Red River</v>
          </cell>
          <cell r="D47">
            <v>127.94450740738701</v>
          </cell>
          <cell r="E47">
            <v>109.09822163741799</v>
          </cell>
        </row>
        <row r="48">
          <cell r="A48">
            <v>42</v>
          </cell>
          <cell r="B48">
            <v>42</v>
          </cell>
          <cell r="C48" t="str">
            <v>Richland</v>
          </cell>
          <cell r="D48">
            <v>212.342011102181</v>
          </cell>
          <cell r="E48">
            <v>177.65798889780399</v>
          </cell>
        </row>
        <row r="49">
          <cell r="A49">
            <v>43</v>
          </cell>
          <cell r="B49">
            <v>43</v>
          </cell>
          <cell r="C49" t="str">
            <v>Sabine</v>
          </cell>
          <cell r="D49">
            <v>338.96666666400006</v>
          </cell>
          <cell r="E49">
            <v>273</v>
          </cell>
        </row>
        <row r="50">
          <cell r="A50">
            <v>44</v>
          </cell>
          <cell r="B50">
            <v>44</v>
          </cell>
          <cell r="C50" t="str">
            <v>St. Bernard</v>
          </cell>
          <cell r="D50">
            <v>617.22115946257702</v>
          </cell>
          <cell r="E50">
            <v>301.00331611499803</v>
          </cell>
        </row>
        <row r="51">
          <cell r="A51">
            <v>45</v>
          </cell>
          <cell r="B51">
            <v>45</v>
          </cell>
          <cell r="C51" t="str">
            <v>St. Charles</v>
          </cell>
          <cell r="D51">
            <v>1010.4999999999959</v>
          </cell>
          <cell r="E51">
            <v>695</v>
          </cell>
        </row>
        <row r="52">
          <cell r="A52">
            <v>46</v>
          </cell>
          <cell r="B52">
            <v>46</v>
          </cell>
          <cell r="C52" t="str">
            <v>St. Helena</v>
          </cell>
          <cell r="D52">
            <v>89.759249588999992</v>
          </cell>
          <cell r="E52">
            <v>76</v>
          </cell>
        </row>
        <row r="53">
          <cell r="A53">
            <v>47</v>
          </cell>
          <cell r="B53">
            <v>47</v>
          </cell>
          <cell r="C53" t="str">
            <v>St. James</v>
          </cell>
          <cell r="D53">
            <v>375.99999999999898</v>
          </cell>
          <cell r="E53">
            <v>154</v>
          </cell>
        </row>
        <row r="54">
          <cell r="A54">
            <v>48</v>
          </cell>
          <cell r="B54">
            <v>48</v>
          </cell>
          <cell r="C54" t="str">
            <v>St. John the Baptist</v>
          </cell>
          <cell r="D54">
            <v>597.01528654899994</v>
          </cell>
          <cell r="E54">
            <v>324.20878657200001</v>
          </cell>
        </row>
        <row r="55">
          <cell r="A55">
            <v>49</v>
          </cell>
          <cell r="B55">
            <v>49</v>
          </cell>
          <cell r="C55" t="str">
            <v>St. Landry</v>
          </cell>
          <cell r="D55">
            <v>1127.97</v>
          </cell>
          <cell r="E55">
            <v>681</v>
          </cell>
        </row>
        <row r="56">
          <cell r="A56">
            <v>50</v>
          </cell>
          <cell r="B56">
            <v>50</v>
          </cell>
          <cell r="C56" t="str">
            <v>St. Martin</v>
          </cell>
          <cell r="D56">
            <v>564.70130739593299</v>
          </cell>
          <cell r="E56">
            <v>384.99911376800003</v>
          </cell>
        </row>
        <row r="57">
          <cell r="A57">
            <v>51</v>
          </cell>
          <cell r="B57">
            <v>51</v>
          </cell>
          <cell r="C57" t="str">
            <v>St. Mary</v>
          </cell>
          <cell r="D57">
            <v>728.6</v>
          </cell>
          <cell r="E57">
            <v>484.20178570400003</v>
          </cell>
        </row>
        <row r="58">
          <cell r="A58">
            <v>52</v>
          </cell>
          <cell r="B58">
            <v>52</v>
          </cell>
          <cell r="C58" t="str">
            <v>St. Tammany</v>
          </cell>
          <cell r="D58">
            <v>3440.72351585977</v>
          </cell>
          <cell r="E58">
            <v>2360.6795526649757</v>
          </cell>
        </row>
        <row r="59">
          <cell r="A59">
            <v>53</v>
          </cell>
          <cell r="B59">
            <v>53</v>
          </cell>
          <cell r="C59" t="str">
            <v>Tangipahoa</v>
          </cell>
          <cell r="D59">
            <v>1642.4027328314594</v>
          </cell>
          <cell r="E59">
            <v>1148.6712077663849</v>
          </cell>
        </row>
        <row r="60">
          <cell r="A60">
            <v>54</v>
          </cell>
          <cell r="B60">
            <v>54</v>
          </cell>
          <cell r="C60" t="str">
            <v>Tensas</v>
          </cell>
          <cell r="D60">
            <v>44.909999999990006</v>
          </cell>
          <cell r="E60">
            <v>45.228769841259997</v>
          </cell>
        </row>
        <row r="61">
          <cell r="A61">
            <v>55</v>
          </cell>
          <cell r="B61">
            <v>55</v>
          </cell>
          <cell r="C61" t="str">
            <v>Terrebonne</v>
          </cell>
          <cell r="D61">
            <v>1346.4080634309962</v>
          </cell>
          <cell r="E61">
            <v>796.23488168499989</v>
          </cell>
        </row>
        <row r="62">
          <cell r="A62">
            <v>56</v>
          </cell>
          <cell r="B62">
            <v>56</v>
          </cell>
          <cell r="C62" t="str">
            <v>Union</v>
          </cell>
          <cell r="D62">
            <v>151.54942460620799</v>
          </cell>
          <cell r="E62">
            <v>123.38270051176299</v>
          </cell>
        </row>
        <row r="63">
          <cell r="A63">
            <v>57</v>
          </cell>
          <cell r="B63">
            <v>57</v>
          </cell>
          <cell r="C63" t="str">
            <v>Vermilion</v>
          </cell>
          <cell r="D63">
            <v>791.99264061408087</v>
          </cell>
          <cell r="E63">
            <v>447.12361110799895</v>
          </cell>
        </row>
        <row r="64">
          <cell r="A64">
            <v>58</v>
          </cell>
          <cell r="B64">
            <v>58</v>
          </cell>
          <cell r="C64" t="str">
            <v>Vernon</v>
          </cell>
          <cell r="D64">
            <v>626.99999999989109</v>
          </cell>
          <cell r="E64">
            <v>465.99999999997397</v>
          </cell>
        </row>
        <row r="65">
          <cell r="A65">
            <v>59</v>
          </cell>
          <cell r="B65">
            <v>59</v>
          </cell>
          <cell r="C65" t="str">
            <v>Washington</v>
          </cell>
          <cell r="D65">
            <v>422.39512589498094</v>
          </cell>
          <cell r="E65">
            <v>306.02272649500003</v>
          </cell>
        </row>
        <row r="66">
          <cell r="A66">
            <v>60</v>
          </cell>
          <cell r="B66">
            <v>60</v>
          </cell>
          <cell r="C66" t="str">
            <v>Webster</v>
          </cell>
          <cell r="D66">
            <v>438.49999999998795</v>
          </cell>
          <cell r="E66">
            <v>323.99999999999898</v>
          </cell>
        </row>
        <row r="67">
          <cell r="A67">
            <v>61</v>
          </cell>
          <cell r="B67">
            <v>61</v>
          </cell>
          <cell r="C67" t="str">
            <v>West Baton Rouge</v>
          </cell>
          <cell r="D67">
            <v>411.21666666599401</v>
          </cell>
          <cell r="E67">
            <v>199</v>
          </cell>
        </row>
        <row r="68">
          <cell r="A68">
            <v>62</v>
          </cell>
          <cell r="B68">
            <v>62</v>
          </cell>
          <cell r="C68" t="str">
            <v>West Carroll</v>
          </cell>
          <cell r="D68">
            <v>155.13425925924003</v>
          </cell>
          <cell r="E68">
            <v>101.865740740738</v>
          </cell>
        </row>
        <row r="69">
          <cell r="A69">
            <v>63</v>
          </cell>
          <cell r="B69">
            <v>63</v>
          </cell>
          <cell r="C69" t="str">
            <v>West Feliciana</v>
          </cell>
          <cell r="D69">
            <v>218.03395759452098</v>
          </cell>
          <cell r="E69">
            <v>146.000044550436</v>
          </cell>
        </row>
        <row r="70">
          <cell r="A70">
            <v>64</v>
          </cell>
          <cell r="B70">
            <v>64</v>
          </cell>
          <cell r="C70" t="str">
            <v>Winn</v>
          </cell>
          <cell r="D70">
            <v>175.99999999999901</v>
          </cell>
          <cell r="E70">
            <v>154.49999999999901</v>
          </cell>
        </row>
        <row r="71">
          <cell r="A71">
            <v>65</v>
          </cell>
          <cell r="B71">
            <v>65</v>
          </cell>
          <cell r="C71" t="str">
            <v>City of Monroe</v>
          </cell>
          <cell r="D71">
            <v>740.11049772686704</v>
          </cell>
          <cell r="E71">
            <v>558.33825395263102</v>
          </cell>
        </row>
        <row r="72">
          <cell r="A72">
            <v>66</v>
          </cell>
          <cell r="B72">
            <v>66</v>
          </cell>
          <cell r="C72" t="str">
            <v>City of Bogalusa</v>
          </cell>
          <cell r="D72">
            <v>172.887125751974</v>
          </cell>
          <cell r="E72">
            <v>122.490483366999</v>
          </cell>
        </row>
        <row r="73">
          <cell r="A73">
            <v>67</v>
          </cell>
          <cell r="B73">
            <v>67</v>
          </cell>
          <cell r="C73" t="str">
            <v>Zachary Community</v>
          </cell>
          <cell r="D73">
            <v>408.89333333199994</v>
          </cell>
          <cell r="E73">
            <v>176.880751973</v>
          </cell>
        </row>
        <row r="74">
          <cell r="A74">
            <v>68</v>
          </cell>
          <cell r="B74">
            <v>68</v>
          </cell>
          <cell r="C74" t="str">
            <v>City of Baker</v>
          </cell>
          <cell r="D74">
            <v>109.854119224995</v>
          </cell>
          <cell r="E74">
            <v>52.180311352999993</v>
          </cell>
        </row>
        <row r="75">
          <cell r="A75">
            <v>69</v>
          </cell>
          <cell r="B75">
            <v>69</v>
          </cell>
          <cell r="C75" t="str">
            <v>Central Community</v>
          </cell>
          <cell r="D75">
            <v>352.30198019799798</v>
          </cell>
          <cell r="E75">
            <v>118</v>
          </cell>
        </row>
        <row r="76">
          <cell r="A76"/>
          <cell r="B76"/>
          <cell r="C76" t="str">
            <v>Total City/Parish</v>
          </cell>
          <cell r="D76">
            <v>57285.913504689153</v>
          </cell>
          <cell r="E76">
            <v>36997.15655710148</v>
          </cell>
        </row>
        <row r="77">
          <cell r="A77"/>
          <cell r="B77"/>
          <cell r="C77"/>
          <cell r="D77"/>
          <cell r="E77"/>
        </row>
        <row r="78">
          <cell r="A78">
            <v>318</v>
          </cell>
          <cell r="B78">
            <v>318001</v>
          </cell>
          <cell r="C78" t="str">
            <v>LSU Lab School</v>
          </cell>
          <cell r="D78">
            <v>94.110977156999994</v>
          </cell>
          <cell r="E78">
            <v>28.475000000000001</v>
          </cell>
        </row>
        <row r="79">
          <cell r="A79">
            <v>319</v>
          </cell>
          <cell r="B79">
            <v>319001</v>
          </cell>
          <cell r="C79" t="str">
            <v>Southern Lab School</v>
          </cell>
          <cell r="D79">
            <v>29.533012818999996</v>
          </cell>
          <cell r="E79">
            <v>4</v>
          </cell>
        </row>
        <row r="80">
          <cell r="A80">
            <v>302006</v>
          </cell>
          <cell r="B80">
            <v>302006</v>
          </cell>
          <cell r="C80" t="str">
            <v>LA School for Math, Science and the Arts</v>
          </cell>
          <cell r="D80">
            <v>39</v>
          </cell>
          <cell r="E80">
            <v>16.769230768</v>
          </cell>
        </row>
        <row r="81">
          <cell r="A81">
            <v>334001</v>
          </cell>
          <cell r="B81">
            <v>334001</v>
          </cell>
          <cell r="C81" t="str">
            <v>New Orleans Center for Creative Arts</v>
          </cell>
          <cell r="D81">
            <v>63.977388509000001</v>
          </cell>
          <cell r="E81">
            <v>12.889423076</v>
          </cell>
        </row>
        <row r="82">
          <cell r="A82" t="str">
            <v>3C1001</v>
          </cell>
          <cell r="B82" t="str">
            <v>3C1001</v>
          </cell>
          <cell r="C82" t="str">
            <v>Thrive</v>
          </cell>
          <cell r="D82">
            <v>31.014285712</v>
          </cell>
          <cell r="E82">
            <v>62.124542120000001</v>
          </cell>
        </row>
        <row r="83">
          <cell r="A83" t="str">
            <v>A02</v>
          </cell>
          <cell r="B83" t="str">
            <v>A02</v>
          </cell>
          <cell r="C83" t="str">
            <v>Office of Juvenile Justice</v>
          </cell>
          <cell r="D83">
            <v>42</v>
          </cell>
          <cell r="E83">
            <v>18</v>
          </cell>
        </row>
        <row r="84">
          <cell r="A84"/>
          <cell r="B84"/>
          <cell r="C84" t="str">
            <v>Total Lab &amp; State Approved Schools</v>
          </cell>
          <cell r="D84">
            <v>299.63566419699998</v>
          </cell>
          <cell r="E84">
            <v>142.25819596400001</v>
          </cell>
        </row>
        <row r="85">
          <cell r="A85"/>
          <cell r="B85"/>
          <cell r="C85"/>
          <cell r="D85"/>
          <cell r="E85"/>
        </row>
        <row r="86">
          <cell r="A86">
            <v>321001</v>
          </cell>
          <cell r="B86">
            <v>321001</v>
          </cell>
          <cell r="C86" t="str">
            <v>New Vision Learning</v>
          </cell>
          <cell r="D86">
            <v>17</v>
          </cell>
          <cell r="E86">
            <v>6.961538461</v>
          </cell>
        </row>
        <row r="87">
          <cell r="A87">
            <v>329001</v>
          </cell>
          <cell r="B87">
            <v>329001</v>
          </cell>
          <cell r="C87" t="str">
            <v>Glencoe Charter School</v>
          </cell>
          <cell r="D87">
            <v>31.91</v>
          </cell>
          <cell r="E87">
            <v>18.941615427995998</v>
          </cell>
        </row>
        <row r="88">
          <cell r="A88">
            <v>331001</v>
          </cell>
          <cell r="B88">
            <v>331001</v>
          </cell>
          <cell r="C88" t="str">
            <v>International School of LA</v>
          </cell>
          <cell r="D88">
            <v>128.40825869161898</v>
          </cell>
          <cell r="E88">
            <v>83.850167520379983</v>
          </cell>
        </row>
        <row r="89">
          <cell r="A89">
            <v>333001</v>
          </cell>
          <cell r="B89">
            <v>333001</v>
          </cell>
          <cell r="C89" t="str">
            <v>Avoyelles Public Charter School</v>
          </cell>
          <cell r="D89">
            <v>39.950000000000003</v>
          </cell>
          <cell r="E89">
            <v>25.1</v>
          </cell>
        </row>
        <row r="90">
          <cell r="A90">
            <v>336001</v>
          </cell>
          <cell r="B90">
            <v>336001</v>
          </cell>
          <cell r="C90" t="str">
            <v>Delhi Charter School</v>
          </cell>
          <cell r="D90">
            <v>52.999999999985</v>
          </cell>
          <cell r="E90">
            <v>55.999999999997996</v>
          </cell>
        </row>
        <row r="91">
          <cell r="A91">
            <v>337001</v>
          </cell>
          <cell r="B91">
            <v>337001</v>
          </cell>
          <cell r="C91" t="str">
            <v>Belle Chasse Academy</v>
          </cell>
          <cell r="D91">
            <v>77</v>
          </cell>
          <cell r="E91">
            <v>108.5</v>
          </cell>
        </row>
        <row r="92">
          <cell r="A92">
            <v>340001</v>
          </cell>
          <cell r="B92">
            <v>340001</v>
          </cell>
          <cell r="C92" t="str">
            <v>The MAX Charter School</v>
          </cell>
          <cell r="D92">
            <v>12</v>
          </cell>
          <cell r="E92">
            <v>12.571428571</v>
          </cell>
        </row>
        <row r="93">
          <cell r="A93"/>
          <cell r="B93"/>
          <cell r="C93" t="str">
            <v>Total Legacy Type 2 Charter Schools</v>
          </cell>
          <cell r="D93">
            <v>359.26825869160399</v>
          </cell>
          <cell r="E93">
            <v>311.92474998037397</v>
          </cell>
        </row>
        <row r="94">
          <cell r="A94"/>
          <cell r="B94"/>
          <cell r="C94"/>
          <cell r="D94"/>
          <cell r="E94"/>
        </row>
        <row r="95">
          <cell r="A95">
            <v>341001</v>
          </cell>
          <cell r="B95">
            <v>341001</v>
          </cell>
          <cell r="C95" t="str">
            <v xml:space="preserve">D'Arbonne Woods </v>
          </cell>
          <cell r="D95">
            <v>66.489883616703992</v>
          </cell>
          <cell r="E95">
            <v>35.102532327581002</v>
          </cell>
        </row>
        <row r="96">
          <cell r="A96">
            <v>343001</v>
          </cell>
          <cell r="B96">
            <v>343001</v>
          </cell>
          <cell r="C96" t="str">
            <v>Madison Prep</v>
          </cell>
          <cell r="D96">
            <v>40.826086955999997</v>
          </cell>
          <cell r="E96">
            <v>9.826086956000001</v>
          </cell>
        </row>
        <row r="97">
          <cell r="A97">
            <v>344001</v>
          </cell>
          <cell r="B97">
            <v>344001</v>
          </cell>
          <cell r="C97" t="str">
            <v xml:space="preserve">Int'l High School of N. O. </v>
          </cell>
          <cell r="D97">
            <v>46.843902438000001</v>
          </cell>
          <cell r="E97">
            <v>14</v>
          </cell>
        </row>
        <row r="98">
          <cell r="A98">
            <v>345001</v>
          </cell>
          <cell r="B98">
            <v>345001</v>
          </cell>
          <cell r="C98" t="str">
            <v>University View Academy</v>
          </cell>
          <cell r="D98">
            <v>211</v>
          </cell>
          <cell r="E98">
            <v>66</v>
          </cell>
        </row>
        <row r="99">
          <cell r="A99">
            <v>346001</v>
          </cell>
          <cell r="B99">
            <v>346001</v>
          </cell>
          <cell r="C99" t="str">
            <v xml:space="preserve">Lake Charles Charter Academy </v>
          </cell>
          <cell r="D99">
            <v>63.546815008000003</v>
          </cell>
          <cell r="E99">
            <v>27.994764397000001</v>
          </cell>
        </row>
        <row r="100">
          <cell r="A100">
            <v>347001</v>
          </cell>
          <cell r="B100">
            <v>347001</v>
          </cell>
          <cell r="C100" t="str">
            <v xml:space="preserve">Lycee Francois de la Nouvelle Orleans </v>
          </cell>
          <cell r="D100">
            <v>108</v>
          </cell>
          <cell r="E100">
            <v>37</v>
          </cell>
        </row>
        <row r="101">
          <cell r="A101">
            <v>348001</v>
          </cell>
          <cell r="B101">
            <v>348001</v>
          </cell>
          <cell r="C101" t="str">
            <v xml:space="preserve">New Orleans Military/Maritime Acdmy </v>
          </cell>
          <cell r="D101">
            <v>91.876595741999992</v>
          </cell>
          <cell r="E101">
            <v>27.822587609999999</v>
          </cell>
        </row>
        <row r="102">
          <cell r="A102" t="str">
            <v>W18001</v>
          </cell>
          <cell r="B102" t="str">
            <v>W18001</v>
          </cell>
          <cell r="C102" t="str">
            <v>Noble Minds Institute</v>
          </cell>
          <cell r="D102">
            <v>9</v>
          </cell>
          <cell r="E102">
            <v>7</v>
          </cell>
        </row>
        <row r="103">
          <cell r="A103" t="str">
            <v>W1A001</v>
          </cell>
          <cell r="B103" t="str">
            <v>W1A001</v>
          </cell>
          <cell r="C103" t="str">
            <v>JCFA - East</v>
          </cell>
          <cell r="D103">
            <v>15.666666666000001</v>
          </cell>
          <cell r="E103">
            <v>8.1</v>
          </cell>
        </row>
        <row r="104">
          <cell r="A104" t="str">
            <v>W1B001</v>
          </cell>
          <cell r="B104" t="str">
            <v>W1B001</v>
          </cell>
          <cell r="C104" t="str">
            <v>Advantage Charter Academy</v>
          </cell>
          <cell r="D104">
            <v>39.590575398527008</v>
          </cell>
          <cell r="E104">
            <v>18.854606855450001</v>
          </cell>
        </row>
        <row r="105">
          <cell r="A105" t="str">
            <v>W1D001</v>
          </cell>
          <cell r="B105" t="str">
            <v>W1D001</v>
          </cell>
          <cell r="C105" t="str">
            <v>JCFA - Lafayette</v>
          </cell>
          <cell r="D105">
            <v>7.9971870599999999</v>
          </cell>
          <cell r="E105">
            <v>5</v>
          </cell>
        </row>
        <row r="106">
          <cell r="A106" t="str">
            <v>W2B001</v>
          </cell>
          <cell r="B106" t="str">
            <v>W2B001</v>
          </cell>
          <cell r="C106" t="str">
            <v>Willow Charter Academy</v>
          </cell>
          <cell r="D106">
            <v>47.945766392639001</v>
          </cell>
          <cell r="E106">
            <v>21.833438610346999</v>
          </cell>
        </row>
        <row r="107">
          <cell r="A107" t="str">
            <v>W33001</v>
          </cell>
          <cell r="B107" t="str">
            <v>W33001</v>
          </cell>
          <cell r="C107" t="str">
            <v>Lincoln Prep School</v>
          </cell>
          <cell r="D107">
            <v>51.647083864999999</v>
          </cell>
          <cell r="E107">
            <v>26.964285713999999</v>
          </cell>
        </row>
        <row r="108">
          <cell r="A108" t="str">
            <v>W3B001</v>
          </cell>
          <cell r="B108" t="str">
            <v>W3B001</v>
          </cell>
          <cell r="C108" t="str">
            <v>Iberville Charter Academy</v>
          </cell>
          <cell r="D108">
            <v>14.558378136</v>
          </cell>
          <cell r="E108">
            <v>9.1999999999999993</v>
          </cell>
        </row>
        <row r="109">
          <cell r="A109" t="str">
            <v>W4A001</v>
          </cell>
          <cell r="B109" t="str">
            <v>W4A001</v>
          </cell>
          <cell r="C109" t="str">
            <v xml:space="preserve">Delta Charter School </v>
          </cell>
          <cell r="D109">
            <v>38.990277777109</v>
          </cell>
          <cell r="E109">
            <v>11.138888888887999</v>
          </cell>
        </row>
        <row r="110">
          <cell r="A110" t="str">
            <v>W4B001</v>
          </cell>
          <cell r="B110" t="str">
            <v>W4B001</v>
          </cell>
          <cell r="C110" t="str">
            <v>Lake Charles College Prep</v>
          </cell>
          <cell r="D110">
            <v>35.5</v>
          </cell>
          <cell r="E110">
            <v>10</v>
          </cell>
        </row>
        <row r="111">
          <cell r="A111" t="str">
            <v>W5B001</v>
          </cell>
          <cell r="B111" t="str">
            <v>W5B001</v>
          </cell>
          <cell r="C111" t="str">
            <v>Northeast Claiborne Charter</v>
          </cell>
          <cell r="D111">
            <v>6</v>
          </cell>
          <cell r="E111">
            <v>6</v>
          </cell>
        </row>
        <row r="112">
          <cell r="A112" t="str">
            <v>W6B001</v>
          </cell>
          <cell r="B112" t="str">
            <v>W6B001</v>
          </cell>
          <cell r="C112" t="str">
            <v>Acadiana Renaissance</v>
          </cell>
          <cell r="D112">
            <v>86.484375</v>
          </cell>
          <cell r="E112">
            <v>27.709069611</v>
          </cell>
        </row>
        <row r="113">
          <cell r="A113" t="str">
            <v>W7A001</v>
          </cell>
          <cell r="B113" t="str">
            <v>W7A001</v>
          </cell>
          <cell r="C113" t="str">
            <v xml:space="preserve">Louisiana Key Academy </v>
          </cell>
          <cell r="D113">
            <v>52</v>
          </cell>
          <cell r="E113">
            <v>13</v>
          </cell>
        </row>
        <row r="114">
          <cell r="A114" t="str">
            <v>W7B001</v>
          </cell>
          <cell r="B114" t="str">
            <v>W7B001</v>
          </cell>
          <cell r="C114" t="str">
            <v>Lafayette Renaissance</v>
          </cell>
          <cell r="D114">
            <v>62</v>
          </cell>
          <cell r="E114">
            <v>27.294259750999998</v>
          </cell>
        </row>
        <row r="115">
          <cell r="A115" t="str">
            <v>W8A001</v>
          </cell>
          <cell r="B115" t="str">
            <v>W8A001</v>
          </cell>
          <cell r="C115" t="str">
            <v>Impact Charter</v>
          </cell>
          <cell r="D115">
            <v>40.454545453999998</v>
          </cell>
          <cell r="E115">
            <v>10</v>
          </cell>
        </row>
        <row r="116">
          <cell r="A116" t="str">
            <v>WAG001</v>
          </cell>
          <cell r="B116" t="str">
            <v>WAG001</v>
          </cell>
          <cell r="C116" t="str">
            <v>Louisiana Virtual Charter Academy</v>
          </cell>
          <cell r="D116">
            <v>73.28350250199999</v>
          </cell>
          <cell r="E116">
            <v>18.626253431999999</v>
          </cell>
        </row>
        <row r="117">
          <cell r="A117" t="str">
            <v>WAK001</v>
          </cell>
          <cell r="B117" t="str">
            <v>WAK001</v>
          </cell>
          <cell r="C117" t="str">
            <v xml:space="preserve">Southwest LA Charter School </v>
          </cell>
          <cell r="D117">
            <v>51.897058797000007</v>
          </cell>
          <cell r="E117">
            <v>13.553921562999999</v>
          </cell>
        </row>
        <row r="118">
          <cell r="A118" t="str">
            <v>WAL001</v>
          </cell>
          <cell r="B118" t="str">
            <v>WAL001</v>
          </cell>
          <cell r="C118" t="str">
            <v xml:space="preserve">J. S. Clark Leadership Academy </v>
          </cell>
          <cell r="D118">
            <v>20.272727272723998</v>
          </cell>
          <cell r="E118">
            <v>23.616161615271</v>
          </cell>
        </row>
        <row r="119">
          <cell r="A119" t="str">
            <v>WAQ001</v>
          </cell>
          <cell r="B119" t="str">
            <v>WAQ001</v>
          </cell>
          <cell r="C119" t="str">
            <v>Baton Rouge University Prep</v>
          </cell>
          <cell r="D119">
            <v>24</v>
          </cell>
          <cell r="E119">
            <v>3</v>
          </cell>
        </row>
        <row r="120">
          <cell r="A120" t="str">
            <v>WAU001</v>
          </cell>
          <cell r="B120" t="str">
            <v>WAU001</v>
          </cell>
          <cell r="C120" t="str">
            <v>GEO Prep Academy</v>
          </cell>
          <cell r="D120">
            <v>55</v>
          </cell>
          <cell r="E120">
            <v>51.5</v>
          </cell>
        </row>
        <row r="121">
          <cell r="A121" t="str">
            <v>WBQ001</v>
          </cell>
          <cell r="B121" t="str">
            <v>WBQ001</v>
          </cell>
          <cell r="C121" t="str">
            <v>New Harmony High School</v>
          </cell>
          <cell r="D121">
            <v>24.556752159000002</v>
          </cell>
          <cell r="E121">
            <v>3</v>
          </cell>
        </row>
        <row r="122">
          <cell r="A122" t="str">
            <v>WBR001</v>
          </cell>
          <cell r="B122" t="str">
            <v>WBR001</v>
          </cell>
          <cell r="C122" t="str">
            <v>Athlos Academy</v>
          </cell>
          <cell r="D122">
            <v>75.999999999999005</v>
          </cell>
          <cell r="E122">
            <v>39.992304139999</v>
          </cell>
        </row>
        <row r="123">
          <cell r="A123" t="str">
            <v>WBX001</v>
          </cell>
          <cell r="B123" t="str">
            <v>WBX001</v>
          </cell>
          <cell r="C123" t="str">
            <v xml:space="preserve">GEO Next Generation HS </v>
          </cell>
          <cell r="D123">
            <v>16.989583332000002</v>
          </cell>
          <cell r="E123">
            <v>4.9895833329999997</v>
          </cell>
        </row>
        <row r="124">
          <cell r="A124" t="str">
            <v>WBY001</v>
          </cell>
          <cell r="B124" t="str">
            <v>WBY001</v>
          </cell>
          <cell r="C124" t="str">
            <v>Red River Charter Academy</v>
          </cell>
          <cell r="D124">
            <v>14.913194444</v>
          </cell>
          <cell r="E124">
            <v>13</v>
          </cell>
        </row>
        <row r="125">
          <cell r="A125" t="str">
            <v>WJ5001</v>
          </cell>
          <cell r="B125" t="str">
            <v>WJ5001</v>
          </cell>
          <cell r="C125" t="str">
            <v>Collegiate Academy (EBR)</v>
          </cell>
          <cell r="D125">
            <v>48</v>
          </cell>
          <cell r="E125">
            <v>16</v>
          </cell>
        </row>
        <row r="126">
          <cell r="A126" t="str">
            <v>WZ8001</v>
          </cell>
          <cell r="B126" t="str">
            <v>WZ8001</v>
          </cell>
          <cell r="C126" t="str">
            <v>GEO Prep Mid-City of Greater B. R.</v>
          </cell>
          <cell r="D126">
            <v>46</v>
          </cell>
          <cell r="E126">
            <v>43.494791665999998</v>
          </cell>
        </row>
        <row r="127">
          <cell r="A127"/>
          <cell r="B127"/>
          <cell r="C127" t="str">
            <v>Total New Type 2 Charter Schools</v>
          </cell>
          <cell r="D127">
            <v>1587.330958016702</v>
          </cell>
          <cell r="E127">
            <v>650.61353647053591</v>
          </cell>
        </row>
        <row r="128">
          <cell r="A128"/>
          <cell r="B128"/>
          <cell r="C128"/>
          <cell r="D128"/>
          <cell r="E128"/>
        </row>
        <row r="129">
          <cell r="A129">
            <v>396211</v>
          </cell>
          <cell r="B129">
            <v>396211</v>
          </cell>
          <cell r="C129" t="str">
            <v>Linwood Public Charter (RSD Operated)</v>
          </cell>
          <cell r="D129">
            <v>71.779487179333003</v>
          </cell>
          <cell r="E129">
            <v>68.166666666666003</v>
          </cell>
        </row>
        <row r="130">
          <cell r="A130" t="str">
            <v>WA7001</v>
          </cell>
          <cell r="B130" t="str">
            <v>WA7001</v>
          </cell>
          <cell r="C130" t="str">
            <v>Capitol High School (RSD Operated)</v>
          </cell>
          <cell r="D130">
            <v>28</v>
          </cell>
          <cell r="E130">
            <v>5</v>
          </cell>
        </row>
        <row r="131">
          <cell r="A131" t="str">
            <v>WAO001</v>
          </cell>
          <cell r="B131" t="str">
            <v>3AP003</v>
          </cell>
          <cell r="C131" t="str">
            <v>Redesign Dalton Charter School</v>
          </cell>
          <cell r="D131">
            <v>14.666666666666</v>
          </cell>
          <cell r="E131">
            <v>8.333333333333</v>
          </cell>
        </row>
        <row r="132">
          <cell r="A132" t="str">
            <v>WAP001</v>
          </cell>
          <cell r="B132" t="str">
            <v>3AP001</v>
          </cell>
          <cell r="C132" t="str">
            <v>Redesign Lanier Charter School</v>
          </cell>
          <cell r="D132">
            <v>15.666666666666</v>
          </cell>
          <cell r="E132">
            <v>9.333333333333</v>
          </cell>
        </row>
        <row r="133">
          <cell r="A133" t="str">
            <v>WAV001</v>
          </cell>
          <cell r="B133" t="str">
            <v>WAV001</v>
          </cell>
          <cell r="C133" t="str">
            <v>Democracy Prep</v>
          </cell>
          <cell r="D133">
            <v>36.953086419000002</v>
          </cell>
          <cell r="E133">
            <v>12</v>
          </cell>
        </row>
        <row r="134">
          <cell r="A134" t="str">
            <v>WB2001</v>
          </cell>
          <cell r="B134">
            <v>389002</v>
          </cell>
          <cell r="C134" t="str">
            <v>Kenilworth Science and Tech</v>
          </cell>
          <cell r="D134">
            <v>35.948979590999997</v>
          </cell>
          <cell r="E134">
            <v>14.111559139000001</v>
          </cell>
        </row>
        <row r="135">
          <cell r="A135" t="str">
            <v>WYA001</v>
          </cell>
          <cell r="B135" t="str">
            <v>3AP004</v>
          </cell>
          <cell r="C135" t="str">
            <v>Redesign Glen Oaks</v>
          </cell>
          <cell r="D135">
            <v>13.666666666666</v>
          </cell>
          <cell r="E135">
            <v>9.333333333333</v>
          </cell>
        </row>
        <row r="136">
          <cell r="A136"/>
          <cell r="B136"/>
          <cell r="C136" t="str">
            <v>Total RSD/Type 5 Charters</v>
          </cell>
          <cell r="D136">
            <v>216.681553189331</v>
          </cell>
          <cell r="E136">
            <v>126.27822580566502</v>
          </cell>
        </row>
        <row r="137">
          <cell r="A137"/>
          <cell r="B137"/>
          <cell r="C137"/>
          <cell r="D137"/>
          <cell r="E137"/>
        </row>
        <row r="138">
          <cell r="A138"/>
          <cell r="B138"/>
          <cell r="C138" t="str">
            <v>MFP Total Statewide</v>
          </cell>
          <cell r="D138">
            <v>59748.829938783791</v>
          </cell>
          <cell r="E138">
            <v>38228.231265322058</v>
          </cell>
        </row>
        <row r="139">
          <cell r="A139"/>
          <cell r="B139"/>
          <cell r="C139"/>
          <cell r="D139"/>
          <cell r="E139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out"/>
      <sheetName val="Table 41"/>
      <sheetName val="Table 43"/>
      <sheetName val="PDF to Excel"/>
    </sheetNames>
    <sheetDataSet>
      <sheetData sheetId="0">
        <row r="4">
          <cell r="A4">
            <v>1</v>
          </cell>
          <cell r="B4" t="str">
            <v>ACADIA</v>
          </cell>
          <cell r="C4">
            <v>491185799</v>
          </cell>
          <cell r="D4">
            <v>88907454</v>
          </cell>
          <cell r="E4">
            <v>402278345</v>
          </cell>
        </row>
        <row r="5">
          <cell r="A5">
            <v>2</v>
          </cell>
          <cell r="B5" t="str">
            <v>ALLEN</v>
          </cell>
          <cell r="C5">
            <v>149747580</v>
          </cell>
          <cell r="D5">
            <v>28845159</v>
          </cell>
          <cell r="E5">
            <v>120902421</v>
          </cell>
        </row>
        <row r="6">
          <cell r="A6">
            <v>3</v>
          </cell>
          <cell r="B6" t="str">
            <v>ASCENSION</v>
          </cell>
          <cell r="C6">
            <v>1681459890</v>
          </cell>
          <cell r="D6">
            <v>234537693</v>
          </cell>
          <cell r="E6">
            <v>1446922197</v>
          </cell>
        </row>
        <row r="7">
          <cell r="A7">
            <v>4</v>
          </cell>
          <cell r="B7" t="str">
            <v>ASSUMPTION</v>
          </cell>
          <cell r="C7">
            <v>236934247</v>
          </cell>
          <cell r="D7">
            <v>36996236</v>
          </cell>
          <cell r="E7">
            <v>199938011</v>
          </cell>
        </row>
        <row r="8">
          <cell r="A8">
            <v>5</v>
          </cell>
          <cell r="B8" t="str">
            <v>AVOYELLES</v>
          </cell>
          <cell r="C8">
            <v>211542680</v>
          </cell>
          <cell r="D8">
            <v>61635999</v>
          </cell>
          <cell r="E8">
            <v>149906681</v>
          </cell>
        </row>
        <row r="9">
          <cell r="A9">
            <v>6</v>
          </cell>
          <cell r="B9" t="str">
            <v>BEAUREGARD</v>
          </cell>
          <cell r="C9">
            <v>332507625</v>
          </cell>
          <cell r="D9">
            <v>58026179</v>
          </cell>
          <cell r="E9">
            <v>274481446</v>
          </cell>
        </row>
        <row r="10">
          <cell r="A10">
            <v>7</v>
          </cell>
          <cell r="B10" t="str">
            <v>BIENVILLE</v>
          </cell>
          <cell r="C10">
            <v>352885521</v>
          </cell>
          <cell r="D10">
            <v>17349959</v>
          </cell>
          <cell r="E10">
            <v>335535562</v>
          </cell>
        </row>
        <row r="11">
          <cell r="A11">
            <v>8</v>
          </cell>
          <cell r="B11" t="str">
            <v>BOSSIER</v>
          </cell>
          <cell r="C11">
            <v>1223770308</v>
          </cell>
          <cell r="D11">
            <v>196350635</v>
          </cell>
          <cell r="E11">
            <v>1027419673</v>
          </cell>
        </row>
        <row r="12">
          <cell r="A12">
            <v>9</v>
          </cell>
          <cell r="B12" t="str">
            <v>CADDO</v>
          </cell>
          <cell r="C12">
            <v>2158335924</v>
          </cell>
          <cell r="D12">
            <v>334931547</v>
          </cell>
          <cell r="E12">
            <v>1823404377</v>
          </cell>
        </row>
        <row r="13">
          <cell r="A13">
            <v>10</v>
          </cell>
          <cell r="B13" t="str">
            <v>CALCASIEU</v>
          </cell>
          <cell r="C13">
            <v>2756877559</v>
          </cell>
          <cell r="D13">
            <v>298051530</v>
          </cell>
          <cell r="E13">
            <v>2458826029</v>
          </cell>
        </row>
        <row r="14">
          <cell r="A14">
            <v>11</v>
          </cell>
          <cell r="B14" t="str">
            <v>CALDWELL</v>
          </cell>
          <cell r="C14">
            <v>78379413</v>
          </cell>
          <cell r="D14">
            <v>14806444</v>
          </cell>
          <cell r="E14">
            <v>63572969</v>
          </cell>
        </row>
        <row r="15">
          <cell r="A15">
            <v>12</v>
          </cell>
          <cell r="B15" t="str">
            <v>CAMERON</v>
          </cell>
          <cell r="C15">
            <v>337139603</v>
          </cell>
          <cell r="D15">
            <v>12374637</v>
          </cell>
          <cell r="E15">
            <v>324764966</v>
          </cell>
        </row>
        <row r="16">
          <cell r="A16">
            <v>13</v>
          </cell>
          <cell r="B16" t="str">
            <v>CATAHOULA</v>
          </cell>
          <cell r="C16">
            <v>54829973</v>
          </cell>
          <cell r="D16">
            <v>14394429</v>
          </cell>
          <cell r="E16">
            <v>40435544</v>
          </cell>
        </row>
        <row r="17">
          <cell r="A17">
            <v>14</v>
          </cell>
          <cell r="B17" t="str">
            <v>CLAIBORNE</v>
          </cell>
          <cell r="C17">
            <v>149025342</v>
          </cell>
          <cell r="D17">
            <v>19516844</v>
          </cell>
          <cell r="E17">
            <v>129508498</v>
          </cell>
        </row>
        <row r="18">
          <cell r="A18">
            <v>15</v>
          </cell>
          <cell r="B18" t="str">
            <v>CONCORDIA</v>
          </cell>
          <cell r="C18">
            <v>163697480</v>
          </cell>
          <cell r="D18">
            <v>27908270</v>
          </cell>
          <cell r="E18">
            <v>135789210</v>
          </cell>
        </row>
        <row r="19">
          <cell r="A19">
            <v>16</v>
          </cell>
          <cell r="B19" t="str">
            <v>DESOTO</v>
          </cell>
          <cell r="C19">
            <v>758808223</v>
          </cell>
          <cell r="D19">
            <v>42362929</v>
          </cell>
          <cell r="E19">
            <v>716445294</v>
          </cell>
        </row>
        <row r="20">
          <cell r="A20">
            <v>17</v>
          </cell>
          <cell r="B20" t="str">
            <v>EAST BATON ROUGE (see below)</v>
          </cell>
          <cell r="C20">
            <v>4510272968.9200001</v>
          </cell>
          <cell r="D20">
            <v>554277779</v>
          </cell>
          <cell r="E20">
            <v>3955995189.9200001</v>
          </cell>
        </row>
        <row r="21">
          <cell r="A21">
            <v>18</v>
          </cell>
          <cell r="B21" t="str">
            <v>EAST CARROLL</v>
          </cell>
          <cell r="C21">
            <v>54347170</v>
          </cell>
          <cell r="D21">
            <v>5554473</v>
          </cell>
          <cell r="E21">
            <v>48792697</v>
          </cell>
        </row>
        <row r="22">
          <cell r="A22">
            <v>19</v>
          </cell>
          <cell r="B22" t="str">
            <v>EAST FELICIANA</v>
          </cell>
          <cell r="C22">
            <v>223559014</v>
          </cell>
          <cell r="D22">
            <v>36549307</v>
          </cell>
          <cell r="E22">
            <v>187009707</v>
          </cell>
        </row>
        <row r="23">
          <cell r="A23">
            <v>20</v>
          </cell>
          <cell r="B23" t="str">
            <v>EVANGELINE</v>
          </cell>
          <cell r="C23">
            <v>297219060</v>
          </cell>
          <cell r="D23">
            <v>52196454</v>
          </cell>
          <cell r="E23">
            <v>245022606</v>
          </cell>
        </row>
        <row r="24">
          <cell r="A24">
            <v>21</v>
          </cell>
          <cell r="B24" t="str">
            <v>FRANKLIN</v>
          </cell>
          <cell r="C24">
            <v>136411776</v>
          </cell>
          <cell r="D24">
            <v>29499483</v>
          </cell>
          <cell r="E24">
            <v>106912293</v>
          </cell>
        </row>
        <row r="25">
          <cell r="A25">
            <v>22</v>
          </cell>
          <cell r="B25" t="str">
            <v>GRANT</v>
          </cell>
          <cell r="C25">
            <v>90897510</v>
          </cell>
          <cell r="D25">
            <v>33645950</v>
          </cell>
          <cell r="E25">
            <v>57251560</v>
          </cell>
        </row>
        <row r="26">
          <cell r="A26">
            <v>23</v>
          </cell>
          <cell r="B26" t="str">
            <v>IBERIA</v>
          </cell>
          <cell r="C26">
            <v>714978933</v>
          </cell>
          <cell r="D26">
            <v>111437981</v>
          </cell>
          <cell r="E26">
            <v>603540952</v>
          </cell>
        </row>
        <row r="27">
          <cell r="A27">
            <v>24</v>
          </cell>
          <cell r="B27" t="str">
            <v>IBERVILLE</v>
          </cell>
          <cell r="C27">
            <v>756525905</v>
          </cell>
          <cell r="D27">
            <v>49222390</v>
          </cell>
          <cell r="E27">
            <v>707303515</v>
          </cell>
        </row>
        <row r="28">
          <cell r="A28">
            <v>25</v>
          </cell>
          <cell r="B28" t="str">
            <v>JACKSON</v>
          </cell>
          <cell r="C28">
            <v>228002460</v>
          </cell>
          <cell r="D28">
            <v>21352300</v>
          </cell>
          <cell r="E28">
            <v>206650160</v>
          </cell>
        </row>
        <row r="29">
          <cell r="A29">
            <v>26</v>
          </cell>
          <cell r="B29" t="str">
            <v>JEFFERSON</v>
          </cell>
          <cell r="C29">
            <v>4576007192</v>
          </cell>
          <cell r="D29">
            <v>747604600</v>
          </cell>
          <cell r="E29">
            <v>3828402592</v>
          </cell>
        </row>
        <row r="30">
          <cell r="A30">
            <v>27</v>
          </cell>
          <cell r="B30" t="str">
            <v>JEFFERSON DAVIS</v>
          </cell>
          <cell r="C30">
            <v>286822669</v>
          </cell>
          <cell r="D30">
            <v>51367530</v>
          </cell>
          <cell r="E30">
            <v>235455139</v>
          </cell>
        </row>
        <row r="31">
          <cell r="A31">
            <v>28</v>
          </cell>
          <cell r="B31" t="str">
            <v>LAFAYETTE</v>
          </cell>
          <cell r="C31">
            <v>2750982374</v>
          </cell>
          <cell r="D31">
            <v>400989722</v>
          </cell>
          <cell r="E31">
            <v>2349992652</v>
          </cell>
        </row>
        <row r="32">
          <cell r="A32">
            <v>29</v>
          </cell>
          <cell r="B32" t="str">
            <v>LAFOURCHE</v>
          </cell>
          <cell r="C32">
            <v>1143571750</v>
          </cell>
          <cell r="D32">
            <v>176382721</v>
          </cell>
          <cell r="E32">
            <v>967189029</v>
          </cell>
        </row>
        <row r="33">
          <cell r="A33">
            <v>30</v>
          </cell>
          <cell r="B33" t="str">
            <v>LASALLE</v>
          </cell>
          <cell r="C33">
            <v>108687310</v>
          </cell>
          <cell r="D33">
            <v>22134220</v>
          </cell>
          <cell r="E33">
            <v>86553090</v>
          </cell>
        </row>
        <row r="34">
          <cell r="A34">
            <v>31</v>
          </cell>
          <cell r="B34" t="str">
            <v>LINCOLN</v>
          </cell>
          <cell r="C34">
            <v>534198496</v>
          </cell>
          <cell r="D34">
            <v>58197715</v>
          </cell>
          <cell r="E34">
            <v>476000781</v>
          </cell>
        </row>
        <row r="35">
          <cell r="A35">
            <v>32</v>
          </cell>
          <cell r="B35" t="str">
            <v>LIVINGSTON</v>
          </cell>
          <cell r="C35">
            <v>814702862</v>
          </cell>
          <cell r="D35">
            <v>243436347</v>
          </cell>
          <cell r="E35">
            <v>571266515</v>
          </cell>
        </row>
        <row r="36">
          <cell r="A36">
            <v>33</v>
          </cell>
          <cell r="B36" t="str">
            <v>MADISON</v>
          </cell>
          <cell r="C36">
            <v>117701195</v>
          </cell>
          <cell r="D36">
            <v>10385943</v>
          </cell>
          <cell r="E36">
            <v>107315252</v>
          </cell>
        </row>
        <row r="37">
          <cell r="A37">
            <v>34</v>
          </cell>
          <cell r="B37" t="str">
            <v>MOREHOUSE</v>
          </cell>
          <cell r="C37">
            <v>185207659</v>
          </cell>
          <cell r="D37">
            <v>35714326</v>
          </cell>
          <cell r="E37">
            <v>149493333</v>
          </cell>
        </row>
        <row r="38">
          <cell r="A38">
            <v>35</v>
          </cell>
          <cell r="B38" t="str">
            <v>NATCHITOCHES</v>
          </cell>
          <cell r="C38">
            <v>412997794</v>
          </cell>
          <cell r="D38">
            <v>53922271</v>
          </cell>
          <cell r="E38">
            <v>359075523</v>
          </cell>
        </row>
        <row r="39">
          <cell r="A39">
            <v>36</v>
          </cell>
          <cell r="B39" t="str">
            <v>ORLEANS</v>
          </cell>
          <cell r="C39">
            <v>4893203850</v>
          </cell>
          <cell r="D39">
            <v>479307090</v>
          </cell>
          <cell r="E39">
            <v>4413896760</v>
          </cell>
        </row>
        <row r="40">
          <cell r="A40">
            <v>37</v>
          </cell>
          <cell r="B40" t="str">
            <v>OUACHITA (see below)</v>
          </cell>
          <cell r="C40">
            <v>906256899</v>
          </cell>
          <cell r="D40">
            <v>165013144</v>
          </cell>
          <cell r="E40">
            <v>741243755</v>
          </cell>
        </row>
        <row r="41">
          <cell r="A41">
            <v>38</v>
          </cell>
          <cell r="B41" t="str">
            <v>PLAQUEMINES</v>
          </cell>
          <cell r="C41">
            <v>1023946195</v>
          </cell>
          <cell r="D41">
            <v>30417942</v>
          </cell>
          <cell r="E41">
            <v>993528253</v>
          </cell>
        </row>
        <row r="42">
          <cell r="A42">
            <v>39</v>
          </cell>
          <cell r="B42" t="str">
            <v>POINTE COUPEE</v>
          </cell>
          <cell r="C42">
            <v>515673079</v>
          </cell>
          <cell r="D42">
            <v>41448081</v>
          </cell>
          <cell r="E42">
            <v>474224998</v>
          </cell>
        </row>
        <row r="43">
          <cell r="A43">
            <v>40</v>
          </cell>
          <cell r="B43" t="str">
            <v>RAPIDES</v>
          </cell>
          <cell r="C43">
            <v>1037972064</v>
          </cell>
          <cell r="D43">
            <v>186596959</v>
          </cell>
          <cell r="E43">
            <v>851375105</v>
          </cell>
        </row>
        <row r="44">
          <cell r="A44">
            <v>41</v>
          </cell>
          <cell r="B44" t="str">
            <v>RED RIVER</v>
          </cell>
          <cell r="C44">
            <v>240421310</v>
          </cell>
          <cell r="D44">
            <v>11535770</v>
          </cell>
          <cell r="E44">
            <v>228885540</v>
          </cell>
        </row>
        <row r="45">
          <cell r="A45">
            <v>42</v>
          </cell>
          <cell r="B45" t="str">
            <v>RICHLAND</v>
          </cell>
          <cell r="C45">
            <v>241877610</v>
          </cell>
          <cell r="D45">
            <v>29475087</v>
          </cell>
          <cell r="E45">
            <v>212402523</v>
          </cell>
        </row>
        <row r="46">
          <cell r="A46">
            <v>43</v>
          </cell>
          <cell r="B46" t="str">
            <v>SABINE</v>
          </cell>
          <cell r="C46">
            <v>256645160</v>
          </cell>
          <cell r="D46">
            <v>39734934</v>
          </cell>
          <cell r="E46">
            <v>216910226</v>
          </cell>
        </row>
        <row r="47">
          <cell r="A47">
            <v>44</v>
          </cell>
          <cell r="B47" t="str">
            <v>ST. BERNARD</v>
          </cell>
          <cell r="C47">
            <v>469350134</v>
          </cell>
          <cell r="D47">
            <v>67482580</v>
          </cell>
          <cell r="E47">
            <v>401867554</v>
          </cell>
        </row>
        <row r="48">
          <cell r="A48">
            <v>45</v>
          </cell>
          <cell r="B48" t="str">
            <v>ST. CHARLES</v>
          </cell>
          <cell r="C48">
            <v>1668706203</v>
          </cell>
          <cell r="D48">
            <v>100232717</v>
          </cell>
          <cell r="E48">
            <v>1568473486</v>
          </cell>
        </row>
        <row r="49">
          <cell r="A49">
            <v>46</v>
          </cell>
          <cell r="B49" t="str">
            <v>ST. HELENA</v>
          </cell>
          <cell r="C49">
            <v>65766030</v>
          </cell>
          <cell r="D49">
            <v>18183777</v>
          </cell>
          <cell r="E49">
            <v>47582253</v>
          </cell>
        </row>
        <row r="50">
          <cell r="A50">
            <v>47</v>
          </cell>
          <cell r="B50" t="str">
            <v>ST. JAMES</v>
          </cell>
          <cell r="C50">
            <v>698481031</v>
          </cell>
          <cell r="D50">
            <v>41550480</v>
          </cell>
          <cell r="E50">
            <v>656930551</v>
          </cell>
        </row>
        <row r="51">
          <cell r="A51">
            <v>48</v>
          </cell>
          <cell r="B51" t="str">
            <v>ST. JOHN THE BAPTIST</v>
          </cell>
          <cell r="C51">
            <v>537158417</v>
          </cell>
          <cell r="D51">
            <v>82518349</v>
          </cell>
          <cell r="E51">
            <v>454640068</v>
          </cell>
        </row>
        <row r="52">
          <cell r="A52">
            <v>49</v>
          </cell>
          <cell r="B52" t="str">
            <v>ST. LANDRY</v>
          </cell>
          <cell r="C52">
            <v>804155550</v>
          </cell>
          <cell r="D52">
            <v>132833708</v>
          </cell>
          <cell r="E52">
            <v>671321842</v>
          </cell>
        </row>
        <row r="53">
          <cell r="A53">
            <v>50</v>
          </cell>
          <cell r="B53" t="str">
            <v>ST. MARTIN</v>
          </cell>
          <cell r="C53">
            <v>486367337</v>
          </cell>
          <cell r="D53">
            <v>90595759</v>
          </cell>
          <cell r="E53">
            <v>395771578</v>
          </cell>
        </row>
        <row r="54">
          <cell r="A54">
            <v>51</v>
          </cell>
          <cell r="B54" t="str">
            <v>ST. MARY</v>
          </cell>
          <cell r="C54">
            <v>672976100</v>
          </cell>
          <cell r="D54">
            <v>74391236</v>
          </cell>
          <cell r="E54">
            <v>598584864</v>
          </cell>
        </row>
        <row r="55">
          <cell r="A55">
            <v>52</v>
          </cell>
          <cell r="B55" t="str">
            <v>ST. TAMMANY</v>
          </cell>
          <cell r="C55">
            <v>2662040619</v>
          </cell>
          <cell r="D55">
            <v>525755305</v>
          </cell>
          <cell r="E55">
            <v>2136285314</v>
          </cell>
        </row>
        <row r="56">
          <cell r="A56">
            <v>53</v>
          </cell>
          <cell r="B56" t="str">
            <v>TANGIPAHOA</v>
          </cell>
          <cell r="C56">
            <v>813230753</v>
          </cell>
          <cell r="D56">
            <v>211865231</v>
          </cell>
          <cell r="E56">
            <v>601365522</v>
          </cell>
        </row>
        <row r="57">
          <cell r="A57">
            <v>54</v>
          </cell>
          <cell r="B57" t="str">
            <v>TENSAS</v>
          </cell>
          <cell r="C57">
            <v>61453654</v>
          </cell>
          <cell r="D57">
            <v>5243764</v>
          </cell>
          <cell r="E57">
            <v>56209890</v>
          </cell>
        </row>
        <row r="58">
          <cell r="A58">
            <v>55</v>
          </cell>
          <cell r="B58" t="str">
            <v>TERREBONNE</v>
          </cell>
          <cell r="C58">
            <v>1186021444</v>
          </cell>
          <cell r="D58">
            <v>178986935</v>
          </cell>
          <cell r="E58">
            <v>1007034509</v>
          </cell>
        </row>
        <row r="59">
          <cell r="A59">
            <v>56</v>
          </cell>
          <cell r="B59" t="str">
            <v>UNION</v>
          </cell>
          <cell r="C59">
            <v>190587448</v>
          </cell>
          <cell r="D59">
            <v>35623343</v>
          </cell>
          <cell r="E59">
            <v>154964105</v>
          </cell>
        </row>
        <row r="60">
          <cell r="A60">
            <v>57</v>
          </cell>
          <cell r="B60" t="str">
            <v>VERMILION</v>
          </cell>
          <cell r="C60">
            <v>405033815</v>
          </cell>
          <cell r="D60">
            <v>95748036</v>
          </cell>
          <cell r="E60">
            <v>309285779</v>
          </cell>
        </row>
        <row r="61">
          <cell r="A61">
            <v>58</v>
          </cell>
          <cell r="B61" t="str">
            <v>VERNON</v>
          </cell>
          <cell r="C61">
            <v>201354560</v>
          </cell>
          <cell r="D61">
            <v>55305102</v>
          </cell>
          <cell r="E61">
            <v>146049458</v>
          </cell>
        </row>
        <row r="62">
          <cell r="A62">
            <v>59</v>
          </cell>
          <cell r="B62" t="str">
            <v>WASHINGTON (see below)</v>
          </cell>
          <cell r="C62">
            <v>145622620</v>
          </cell>
          <cell r="D62">
            <v>42374660</v>
          </cell>
          <cell r="E62">
            <v>103247960</v>
          </cell>
        </row>
        <row r="63">
          <cell r="A63">
            <v>60</v>
          </cell>
          <cell r="B63" t="str">
            <v>WEBSTER</v>
          </cell>
          <cell r="C63">
            <v>310981140</v>
          </cell>
          <cell r="D63">
            <v>55269138</v>
          </cell>
          <cell r="E63">
            <v>255712002</v>
          </cell>
        </row>
        <row r="64">
          <cell r="A64">
            <v>61</v>
          </cell>
          <cell r="B64" t="str">
            <v>WEST BATON ROUGE</v>
          </cell>
          <cell r="C64">
            <v>516579610</v>
          </cell>
          <cell r="D64">
            <v>48826728</v>
          </cell>
          <cell r="E64">
            <v>467752882</v>
          </cell>
        </row>
        <row r="65">
          <cell r="A65">
            <v>62</v>
          </cell>
          <cell r="B65" t="str">
            <v>WEST CARROLL</v>
          </cell>
          <cell r="C65">
            <v>83778910</v>
          </cell>
          <cell r="D65">
            <v>17871219</v>
          </cell>
          <cell r="E65">
            <v>65907691</v>
          </cell>
        </row>
        <row r="66">
          <cell r="A66">
            <v>63</v>
          </cell>
          <cell r="B66" t="str">
            <v>WEST FELICIANA</v>
          </cell>
          <cell r="C66">
            <v>398003176</v>
          </cell>
          <cell r="D66">
            <v>18170566</v>
          </cell>
          <cell r="E66">
            <v>379832610</v>
          </cell>
        </row>
        <row r="67">
          <cell r="A67">
            <v>64</v>
          </cell>
          <cell r="B67" t="str">
            <v>WINN</v>
          </cell>
          <cell r="C67">
            <v>87645820</v>
          </cell>
          <cell r="D67">
            <v>17223456</v>
          </cell>
          <cell r="E67">
            <v>70422364</v>
          </cell>
        </row>
        <row r="68">
          <cell r="A68">
            <v>65</v>
          </cell>
          <cell r="B68" t="str">
            <v>CITY OF MONROE</v>
          </cell>
          <cell r="C68">
            <v>438130356</v>
          </cell>
          <cell r="D68">
            <v>43177564</v>
          </cell>
          <cell r="E68">
            <v>394952792</v>
          </cell>
        </row>
        <row r="69">
          <cell r="A69">
            <v>66</v>
          </cell>
          <cell r="B69" t="str">
            <v>CITY OF BOGALUSA</v>
          </cell>
          <cell r="C69">
            <v>109131700</v>
          </cell>
          <cell r="D69">
            <v>19123250</v>
          </cell>
          <cell r="E69">
            <v>90008450</v>
          </cell>
        </row>
        <row r="70">
          <cell r="A70">
            <v>67</v>
          </cell>
          <cell r="B70" t="str">
            <v>CITY OF ZACHARY</v>
          </cell>
          <cell r="C70">
            <v>347052111.07999998</v>
          </cell>
          <cell r="D70">
            <v>47329540</v>
          </cell>
          <cell r="E70">
            <v>299722571.07999998</v>
          </cell>
        </row>
        <row r="71">
          <cell r="A71">
            <v>68</v>
          </cell>
          <cell r="B71" t="str">
            <v>CITY OF BAKER</v>
          </cell>
          <cell r="C71">
            <v>70681120</v>
          </cell>
          <cell r="D71">
            <v>20606000</v>
          </cell>
          <cell r="E71">
            <v>50075120</v>
          </cell>
        </row>
        <row r="72">
          <cell r="A72">
            <v>69</v>
          </cell>
          <cell r="B72" t="str">
            <v>CENTRAL COMMUNITY</v>
          </cell>
          <cell r="C72">
            <v>237223305</v>
          </cell>
          <cell r="D72">
            <v>68128565</v>
          </cell>
          <cell r="E72">
            <v>169094740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1</v>
          </cell>
          <cell r="C2" t="str">
            <v>Acadia Parish</v>
          </cell>
          <cell r="D2">
            <v>5.23</v>
          </cell>
          <cell r="E2">
            <v>2090043</v>
          </cell>
          <cell r="F2">
            <v>20.38</v>
          </cell>
          <cell r="G2">
            <v>7909429</v>
          </cell>
          <cell r="H2">
            <v>0</v>
          </cell>
          <cell r="I2">
            <v>13.45</v>
          </cell>
          <cell r="J2">
            <v>3</v>
          </cell>
          <cell r="K2">
            <v>1868369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1.4999999999999999E-2</v>
          </cell>
          <cell r="S2">
            <v>12427018</v>
          </cell>
          <cell r="T2">
            <v>0</v>
          </cell>
          <cell r="U2">
            <v>471551</v>
          </cell>
        </row>
        <row r="3">
          <cell r="B3">
            <v>2</v>
          </cell>
          <cell r="C3" t="str">
            <v>Allen Parish</v>
          </cell>
          <cell r="D3">
            <v>4.28</v>
          </cell>
          <cell r="E3">
            <v>502717</v>
          </cell>
          <cell r="F3">
            <v>5.15</v>
          </cell>
          <cell r="G3">
            <v>607311</v>
          </cell>
          <cell r="H3">
            <v>0</v>
          </cell>
          <cell r="I3">
            <v>91.41</v>
          </cell>
          <cell r="J3">
            <v>6</v>
          </cell>
          <cell r="K3">
            <v>2412017</v>
          </cell>
          <cell r="L3">
            <v>0</v>
          </cell>
          <cell r="M3">
            <v>0</v>
          </cell>
          <cell r="N3">
            <v>0</v>
          </cell>
          <cell r="O3">
            <v>42</v>
          </cell>
          <cell r="P3">
            <v>5</v>
          </cell>
          <cell r="Q3">
            <v>2257365</v>
          </cell>
          <cell r="R3">
            <v>0.03</v>
          </cell>
          <cell r="S3">
            <v>7690491</v>
          </cell>
          <cell r="T3">
            <v>0</v>
          </cell>
          <cell r="U3">
            <v>88467</v>
          </cell>
        </row>
        <row r="4">
          <cell r="B4">
            <v>3</v>
          </cell>
          <cell r="C4" t="str">
            <v>Ascension Parish</v>
          </cell>
          <cell r="D4">
            <v>3.61</v>
          </cell>
          <cell r="E4">
            <v>5171675</v>
          </cell>
          <cell r="F4">
            <v>42.9</v>
          </cell>
          <cell r="G4">
            <v>61458336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15.08</v>
          </cell>
          <cell r="M4">
            <v>21603664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0.02</v>
          </cell>
          <cell r="S4">
            <v>66829877</v>
          </cell>
          <cell r="T4">
            <v>0</v>
          </cell>
          <cell r="U4">
            <v>207737</v>
          </cell>
        </row>
        <row r="5">
          <cell r="B5">
            <v>4</v>
          </cell>
          <cell r="C5" t="str">
            <v>Assumption Parish</v>
          </cell>
          <cell r="D5">
            <v>5.49</v>
          </cell>
          <cell r="E5">
            <v>1080570</v>
          </cell>
          <cell r="F5">
            <v>33.880000000000003</v>
          </cell>
          <cell r="G5">
            <v>6654898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0.03</v>
          </cell>
          <cell r="S5">
            <v>6525482</v>
          </cell>
          <cell r="T5">
            <v>0</v>
          </cell>
          <cell r="U5">
            <v>105111</v>
          </cell>
        </row>
        <row r="6">
          <cell r="B6">
            <v>5</v>
          </cell>
          <cell r="C6" t="str">
            <v>Avoyelles Parish</v>
          </cell>
          <cell r="D6">
            <v>3.62</v>
          </cell>
          <cell r="E6">
            <v>538574</v>
          </cell>
          <cell r="F6">
            <v>20</v>
          </cell>
          <cell r="G6">
            <v>2975463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1.7500000000000002E-2</v>
          </cell>
          <cell r="S6">
            <v>8351435</v>
          </cell>
          <cell r="T6">
            <v>0</v>
          </cell>
          <cell r="U6">
            <v>407317</v>
          </cell>
        </row>
        <row r="7">
          <cell r="B7">
            <v>6</v>
          </cell>
          <cell r="C7" t="str">
            <v>Beauregard Parish</v>
          </cell>
          <cell r="D7">
            <v>4.8600000000000003</v>
          </cell>
          <cell r="E7">
            <v>1353324</v>
          </cell>
          <cell r="F7">
            <v>30.12</v>
          </cell>
          <cell r="G7">
            <v>8396941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17.8</v>
          </cell>
          <cell r="M7">
            <v>4694915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0.02</v>
          </cell>
          <cell r="S7">
            <v>13503458</v>
          </cell>
          <cell r="T7">
            <v>0</v>
          </cell>
          <cell r="U7">
            <v>324659</v>
          </cell>
        </row>
        <row r="8">
          <cell r="B8">
            <v>7</v>
          </cell>
          <cell r="C8" t="str">
            <v>Bienville Parish</v>
          </cell>
          <cell r="D8">
            <v>5.88</v>
          </cell>
          <cell r="E8">
            <v>1901310</v>
          </cell>
          <cell r="F8">
            <v>7.79</v>
          </cell>
          <cell r="G8">
            <v>17157050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48</v>
          </cell>
          <cell r="P8">
            <v>4</v>
          </cell>
          <cell r="Q8">
            <v>2225202</v>
          </cell>
          <cell r="R8">
            <v>0.02</v>
          </cell>
          <cell r="S8">
            <v>4949752</v>
          </cell>
          <cell r="T8">
            <v>0</v>
          </cell>
          <cell r="U8">
            <v>163872</v>
          </cell>
        </row>
        <row r="9">
          <cell r="B9">
            <v>8</v>
          </cell>
          <cell r="C9" t="str">
            <v>Bossier Parish</v>
          </cell>
          <cell r="D9">
            <v>3.47</v>
          </cell>
          <cell r="E9">
            <v>3506460</v>
          </cell>
          <cell r="F9">
            <v>48.06</v>
          </cell>
          <cell r="G9">
            <v>48564388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13.83</v>
          </cell>
          <cell r="M9">
            <v>13975342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1.7500000000000002E-2</v>
          </cell>
          <cell r="S9">
            <v>48720733</v>
          </cell>
          <cell r="T9">
            <v>0</v>
          </cell>
          <cell r="U9">
            <v>696295</v>
          </cell>
        </row>
        <row r="10">
          <cell r="B10">
            <v>9</v>
          </cell>
          <cell r="C10" t="str">
            <v>Caddo Parish</v>
          </cell>
          <cell r="D10">
            <v>7.7</v>
          </cell>
          <cell r="E10">
            <v>14039441</v>
          </cell>
          <cell r="F10">
            <v>61.12</v>
          </cell>
          <cell r="G10">
            <v>111440344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5</v>
          </cell>
          <cell r="M10">
            <v>9116509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1.4999999999999999E-2</v>
          </cell>
          <cell r="S10">
            <v>79496736</v>
          </cell>
          <cell r="T10">
            <v>0</v>
          </cell>
          <cell r="U10">
            <v>3011992</v>
          </cell>
        </row>
        <row r="11">
          <cell r="B11">
            <v>10</v>
          </cell>
          <cell r="C11" t="str">
            <v>Calcasieu Parish</v>
          </cell>
          <cell r="D11">
            <v>5.13</v>
          </cell>
          <cell r="E11">
            <v>12348346</v>
          </cell>
          <cell r="F11">
            <v>12.1</v>
          </cell>
          <cell r="G11">
            <v>29167924</v>
          </cell>
          <cell r="H11">
            <v>0</v>
          </cell>
          <cell r="I11">
            <v>0</v>
          </cell>
          <cell r="J11">
            <v>0</v>
          </cell>
          <cell r="K11">
            <v>330141</v>
          </cell>
          <cell r="L11">
            <v>0</v>
          </cell>
          <cell r="M11">
            <v>0</v>
          </cell>
          <cell r="N11">
            <v>0</v>
          </cell>
          <cell r="O11">
            <v>33.1</v>
          </cell>
          <cell r="P11">
            <v>10</v>
          </cell>
          <cell r="Q11">
            <v>29692911</v>
          </cell>
          <cell r="R11">
            <v>2.5000000000000001E-2</v>
          </cell>
          <cell r="S11">
            <v>153260354</v>
          </cell>
          <cell r="T11">
            <v>0</v>
          </cell>
          <cell r="U11">
            <v>1029161</v>
          </cell>
        </row>
        <row r="12">
          <cell r="B12">
            <v>11</v>
          </cell>
          <cell r="C12" t="str">
            <v>Caldwell Parish</v>
          </cell>
          <cell r="D12">
            <v>5.4</v>
          </cell>
          <cell r="E12">
            <v>303904</v>
          </cell>
          <cell r="F12">
            <v>32.83</v>
          </cell>
          <cell r="G12">
            <v>1847621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14</v>
          </cell>
          <cell r="M12">
            <v>787896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0.02</v>
          </cell>
          <cell r="S12">
            <v>2279931</v>
          </cell>
          <cell r="T12">
            <v>0</v>
          </cell>
          <cell r="U12">
            <v>77554</v>
          </cell>
        </row>
        <row r="13">
          <cell r="B13">
            <v>12</v>
          </cell>
          <cell r="C13" t="str">
            <v>Cameron Parish</v>
          </cell>
          <cell r="D13">
            <v>4.84</v>
          </cell>
          <cell r="E13">
            <v>1607470</v>
          </cell>
          <cell r="F13">
            <v>29.46</v>
          </cell>
          <cell r="G13">
            <v>9788048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559116</v>
          </cell>
        </row>
        <row r="14">
          <cell r="B14">
            <v>13</v>
          </cell>
          <cell r="C14" t="str">
            <v>Catahoula Parish</v>
          </cell>
          <cell r="D14">
            <v>4.16</v>
          </cell>
          <cell r="E14">
            <v>166695</v>
          </cell>
          <cell r="F14">
            <v>13.27</v>
          </cell>
          <cell r="G14">
            <v>533682</v>
          </cell>
          <cell r="H14">
            <v>0</v>
          </cell>
          <cell r="I14">
            <v>5.56</v>
          </cell>
          <cell r="J14">
            <v>4</v>
          </cell>
          <cell r="K14">
            <v>177154</v>
          </cell>
          <cell r="L14">
            <v>0</v>
          </cell>
          <cell r="M14">
            <v>0</v>
          </cell>
          <cell r="N14">
            <v>0</v>
          </cell>
          <cell r="O14">
            <v>13</v>
          </cell>
          <cell r="P14">
            <v>1</v>
          </cell>
          <cell r="Q14">
            <v>49496</v>
          </cell>
          <cell r="R14">
            <v>0.03</v>
          </cell>
          <cell r="S14">
            <v>2669130</v>
          </cell>
          <cell r="T14">
            <v>0</v>
          </cell>
          <cell r="U14">
            <v>123251</v>
          </cell>
        </row>
        <row r="15">
          <cell r="B15">
            <v>14</v>
          </cell>
          <cell r="C15" t="str">
            <v>Claiborne Parish</v>
          </cell>
          <cell r="D15">
            <v>5.29</v>
          </cell>
          <cell r="E15">
            <v>693422</v>
          </cell>
          <cell r="F15">
            <v>20.3</v>
          </cell>
          <cell r="G15">
            <v>1985181</v>
          </cell>
          <cell r="H15">
            <v>0</v>
          </cell>
          <cell r="I15">
            <v>11.88</v>
          </cell>
          <cell r="J15">
            <v>3</v>
          </cell>
          <cell r="K15">
            <v>1244234</v>
          </cell>
          <cell r="L15">
            <v>0</v>
          </cell>
          <cell r="M15">
            <v>0</v>
          </cell>
          <cell r="N15">
            <v>0</v>
          </cell>
          <cell r="O15">
            <v>17.5</v>
          </cell>
          <cell r="P15">
            <v>1</v>
          </cell>
          <cell r="Q15">
            <v>545220</v>
          </cell>
          <cell r="R15">
            <v>0.02</v>
          </cell>
          <cell r="S15">
            <v>2643264</v>
          </cell>
          <cell r="T15">
            <v>0</v>
          </cell>
          <cell r="U15">
            <v>133667</v>
          </cell>
        </row>
        <row r="16">
          <cell r="B16">
            <v>15</v>
          </cell>
          <cell r="C16" t="str">
            <v>Concordia Parish</v>
          </cell>
          <cell r="D16">
            <v>2.81</v>
          </cell>
          <cell r="E16">
            <v>379114</v>
          </cell>
          <cell r="F16">
            <v>37.6</v>
          </cell>
          <cell r="G16">
            <v>5071085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/>
          <cell r="M16"/>
          <cell r="N16"/>
          <cell r="O16"/>
          <cell r="P16"/>
          <cell r="Q16"/>
          <cell r="R16">
            <v>0.02</v>
          </cell>
          <cell r="S16">
            <v>5581235</v>
          </cell>
          <cell r="T16">
            <v>0</v>
          </cell>
          <cell r="U16">
            <v>176970</v>
          </cell>
        </row>
        <row r="17">
          <cell r="B17">
            <v>16</v>
          </cell>
          <cell r="C17" t="str">
            <v>DeSoto Parish</v>
          </cell>
          <cell r="D17">
            <v>5.32</v>
          </cell>
          <cell r="E17">
            <v>3803808</v>
          </cell>
          <cell r="F17">
            <v>51.34</v>
          </cell>
          <cell r="G17">
            <v>36708868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</v>
          </cell>
          <cell r="P17">
            <v>3</v>
          </cell>
          <cell r="Q17">
            <v>2190136</v>
          </cell>
          <cell r="R17">
            <v>2.5000000000000001E-2</v>
          </cell>
          <cell r="S17">
            <v>23598497</v>
          </cell>
          <cell r="T17">
            <v>2246211</v>
          </cell>
          <cell r="U17">
            <v>781841</v>
          </cell>
        </row>
        <row r="18">
          <cell r="B18">
            <v>17</v>
          </cell>
          <cell r="C18" t="str">
            <v>East Baton Rouge Parish</v>
          </cell>
          <cell r="D18">
            <v>5.25</v>
          </cell>
          <cell r="E18">
            <v>20894289</v>
          </cell>
          <cell r="F18">
            <v>38.200000000000003</v>
          </cell>
          <cell r="G18">
            <v>152029388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0.02</v>
          </cell>
          <cell r="S18">
            <v>178160212</v>
          </cell>
          <cell r="T18">
            <v>0</v>
          </cell>
          <cell r="U18">
            <v>3979947</v>
          </cell>
        </row>
        <row r="19">
          <cell r="B19">
            <v>18</v>
          </cell>
          <cell r="C19" t="str">
            <v>East Carroll Parish</v>
          </cell>
          <cell r="D19">
            <v>8.1999999999999993</v>
          </cell>
          <cell r="E19">
            <v>396952</v>
          </cell>
          <cell r="F19">
            <v>8.24</v>
          </cell>
          <cell r="G19">
            <v>395024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0.03</v>
          </cell>
          <cell r="S19">
            <v>1815260</v>
          </cell>
          <cell r="T19">
            <v>0</v>
          </cell>
          <cell r="U19">
            <v>120279</v>
          </cell>
        </row>
        <row r="20">
          <cell r="B20">
            <v>19</v>
          </cell>
          <cell r="C20" t="str">
            <v>East Feliciana Parish</v>
          </cell>
          <cell r="D20">
            <v>3.34</v>
          </cell>
          <cell r="E20">
            <v>595553</v>
          </cell>
          <cell r="F20">
            <v>17</v>
          </cell>
          <cell r="G20">
            <v>3034542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/>
          <cell r="M20"/>
          <cell r="N20"/>
          <cell r="O20"/>
          <cell r="P20"/>
          <cell r="Q20"/>
          <cell r="R20">
            <v>0.02</v>
          </cell>
          <cell r="S20">
            <v>3701332</v>
          </cell>
          <cell r="T20">
            <v>0</v>
          </cell>
          <cell r="U20">
            <v>72748</v>
          </cell>
        </row>
        <row r="21">
          <cell r="B21">
            <v>20</v>
          </cell>
          <cell r="C21" t="str">
            <v>Evangeline Parish</v>
          </cell>
          <cell r="D21">
            <v>4.5</v>
          </cell>
          <cell r="E21">
            <v>1079839</v>
          </cell>
          <cell r="F21">
            <v>10.35</v>
          </cell>
          <cell r="G21">
            <v>2482839</v>
          </cell>
          <cell r="H21">
            <v>0</v>
          </cell>
          <cell r="I21">
            <v>12.32</v>
          </cell>
          <cell r="J21">
            <v>3</v>
          </cell>
          <cell r="K21">
            <v>3520459</v>
          </cell>
          <cell r="L21">
            <v>0</v>
          </cell>
          <cell r="M21">
            <v>0</v>
          </cell>
          <cell r="N21">
            <v>0</v>
          </cell>
          <cell r="O21">
            <v>11.75</v>
          </cell>
          <cell r="P21">
            <v>1</v>
          </cell>
          <cell r="Q21">
            <v>577501</v>
          </cell>
          <cell r="R21">
            <v>0.02</v>
          </cell>
          <cell r="S21">
            <v>7580227</v>
          </cell>
          <cell r="T21">
            <v>0</v>
          </cell>
          <cell r="U21">
            <v>207124</v>
          </cell>
        </row>
        <row r="22">
          <cell r="B22">
            <v>21</v>
          </cell>
          <cell r="C22" t="str">
            <v>Franklin Parish</v>
          </cell>
          <cell r="D22">
            <v>4.6100000000000003</v>
          </cell>
          <cell r="E22">
            <v>476003</v>
          </cell>
          <cell r="F22">
            <v>20.170000000000002</v>
          </cell>
          <cell r="G22">
            <v>2082646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0.02</v>
          </cell>
          <cell r="S22">
            <v>5543815</v>
          </cell>
          <cell r="T22">
            <v>0</v>
          </cell>
          <cell r="U22">
            <v>79266</v>
          </cell>
        </row>
        <row r="23">
          <cell r="B23">
            <v>22</v>
          </cell>
          <cell r="C23" t="str">
            <v>Grant Parish</v>
          </cell>
          <cell r="D23">
            <v>5.63</v>
          </cell>
          <cell r="E23">
            <v>316182</v>
          </cell>
          <cell r="F23">
            <v>23.05</v>
          </cell>
          <cell r="G23">
            <v>1885079</v>
          </cell>
          <cell r="H23">
            <v>0</v>
          </cell>
          <cell r="I23">
            <v>15.86</v>
          </cell>
          <cell r="J23">
            <v>8</v>
          </cell>
          <cell r="K23">
            <v>0</v>
          </cell>
          <cell r="L23">
            <v>59</v>
          </cell>
          <cell r="M23">
            <v>1104622</v>
          </cell>
          <cell r="N23">
            <v>0</v>
          </cell>
          <cell r="O23">
            <v>23</v>
          </cell>
          <cell r="P23">
            <v>3</v>
          </cell>
          <cell r="Q23">
            <v>0</v>
          </cell>
          <cell r="R23">
            <v>0.02</v>
          </cell>
          <cell r="S23">
            <v>2804660</v>
          </cell>
          <cell r="T23">
            <v>0</v>
          </cell>
          <cell r="U23">
            <v>378456</v>
          </cell>
        </row>
        <row r="24">
          <cell r="B24">
            <v>23</v>
          </cell>
          <cell r="C24" t="str">
            <v>Iberia Parish</v>
          </cell>
          <cell r="D24">
            <v>4.47</v>
          </cell>
          <cell r="E24">
            <v>2642143</v>
          </cell>
          <cell r="F24">
            <v>6.15</v>
          </cell>
          <cell r="G24">
            <v>3634787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21.9</v>
          </cell>
          <cell r="M24">
            <v>12943393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0.02</v>
          </cell>
          <cell r="S24">
            <v>26361116</v>
          </cell>
          <cell r="T24">
            <v>0</v>
          </cell>
          <cell r="U24">
            <v>482886</v>
          </cell>
        </row>
        <row r="25">
          <cell r="B25">
            <v>24</v>
          </cell>
          <cell r="C25" t="str">
            <v>Iberville Parish</v>
          </cell>
          <cell r="D25">
            <v>3.49</v>
          </cell>
          <cell r="E25">
            <v>2448381</v>
          </cell>
          <cell r="F25">
            <v>54.34</v>
          </cell>
          <cell r="G25">
            <v>35002172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3165000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0.02</v>
          </cell>
          <cell r="S25">
            <v>29103509</v>
          </cell>
          <cell r="T25">
            <v>0</v>
          </cell>
          <cell r="U25">
            <v>136804</v>
          </cell>
        </row>
        <row r="26">
          <cell r="B26">
            <v>25</v>
          </cell>
          <cell r="C26" t="str">
            <v>Jackson Parish</v>
          </cell>
          <cell r="D26">
            <v>4.9800000000000004</v>
          </cell>
          <cell r="E26">
            <v>993475</v>
          </cell>
          <cell r="F26">
            <v>21.05</v>
          </cell>
          <cell r="G26">
            <v>4199298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0.03</v>
          </cell>
          <cell r="S26">
            <v>5157087</v>
          </cell>
          <cell r="T26">
            <v>0</v>
          </cell>
          <cell r="U26">
            <v>86554</v>
          </cell>
        </row>
        <row r="27">
          <cell r="B27">
            <v>26</v>
          </cell>
          <cell r="C27" t="str">
            <v>Jefferson Parish</v>
          </cell>
          <cell r="D27">
            <v>2.91</v>
          </cell>
          <cell r="E27">
            <v>5342165</v>
          </cell>
          <cell r="F27">
            <v>20</v>
          </cell>
          <cell r="G27">
            <v>105394529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5679150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0.02</v>
          </cell>
          <cell r="S27">
            <v>191806954</v>
          </cell>
          <cell r="T27">
            <v>13047575</v>
          </cell>
          <cell r="U27">
            <v>1826924</v>
          </cell>
        </row>
        <row r="28">
          <cell r="B28">
            <v>27</v>
          </cell>
          <cell r="C28" t="str">
            <v>Jefferson Davis Parish</v>
          </cell>
          <cell r="D28">
            <v>6.48</v>
          </cell>
          <cell r="E28">
            <v>1495526</v>
          </cell>
          <cell r="F28">
            <v>10.77</v>
          </cell>
          <cell r="G28">
            <v>2485602</v>
          </cell>
          <cell r="H28">
            <v>0</v>
          </cell>
          <cell r="I28">
            <v>18.91</v>
          </cell>
          <cell r="J28">
            <v>7</v>
          </cell>
          <cell r="K28">
            <v>2732590</v>
          </cell>
          <cell r="L28">
            <v>0</v>
          </cell>
          <cell r="M28">
            <v>0</v>
          </cell>
          <cell r="N28">
            <v>0</v>
          </cell>
          <cell r="O28">
            <v>13</v>
          </cell>
          <cell r="P28">
            <v>7</v>
          </cell>
          <cell r="Q28">
            <v>1877494</v>
          </cell>
          <cell r="R28">
            <v>2.5000000000000001E-2</v>
          </cell>
          <cell r="S28">
            <v>10452568</v>
          </cell>
          <cell r="T28">
            <v>1431416</v>
          </cell>
          <cell r="U28">
            <v>319587</v>
          </cell>
        </row>
        <row r="29">
          <cell r="B29">
            <v>28</v>
          </cell>
          <cell r="C29" t="str">
            <v>Lafayette Parish</v>
          </cell>
          <cell r="D29">
            <v>4.59</v>
          </cell>
          <cell r="E29">
            <v>10317117</v>
          </cell>
          <cell r="F29">
            <v>28.97</v>
          </cell>
          <cell r="G29">
            <v>65240693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0.02</v>
          </cell>
          <cell r="S29">
            <v>108680771</v>
          </cell>
          <cell r="T29">
            <v>6633121</v>
          </cell>
          <cell r="U29">
            <v>2423775</v>
          </cell>
        </row>
        <row r="30">
          <cell r="B30">
            <v>29</v>
          </cell>
          <cell r="C30" t="str">
            <v>Lafourche Parish</v>
          </cell>
          <cell r="D30">
            <v>3.63</v>
          </cell>
          <cell r="E30">
            <v>3415026</v>
          </cell>
          <cell r="F30">
            <v>28.47</v>
          </cell>
          <cell r="G30">
            <v>26783942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11.2</v>
          </cell>
          <cell r="M30">
            <v>10536740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0.02</v>
          </cell>
          <cell r="S30">
            <v>31584714</v>
          </cell>
          <cell r="T30">
            <v>0</v>
          </cell>
          <cell r="U30">
            <v>465849</v>
          </cell>
        </row>
        <row r="31">
          <cell r="B31">
            <v>30</v>
          </cell>
          <cell r="C31" t="str">
            <v>LaSalle Parish</v>
          </cell>
          <cell r="D31">
            <v>4.54</v>
          </cell>
          <cell r="E31">
            <v>387185</v>
          </cell>
          <cell r="F31">
            <v>39.75</v>
          </cell>
          <cell r="G31">
            <v>3390003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0.03</v>
          </cell>
          <cell r="S31">
            <v>6573748</v>
          </cell>
          <cell r="T31">
            <v>1260591</v>
          </cell>
          <cell r="U31">
            <v>74770</v>
          </cell>
        </row>
        <row r="32">
          <cell r="B32">
            <v>31</v>
          </cell>
          <cell r="C32" t="str">
            <v>Lincoln Parish</v>
          </cell>
          <cell r="D32">
            <v>3.91</v>
          </cell>
          <cell r="E32">
            <v>1847547</v>
          </cell>
          <cell r="F32">
            <v>27.19</v>
          </cell>
          <cell r="G32">
            <v>12802942</v>
          </cell>
          <cell r="H32">
            <v>0</v>
          </cell>
          <cell r="I32">
            <v>2.99</v>
          </cell>
          <cell r="J32">
            <v>4</v>
          </cell>
          <cell r="K32">
            <v>1170867</v>
          </cell>
          <cell r="L32">
            <v>0</v>
          </cell>
          <cell r="M32">
            <v>0</v>
          </cell>
          <cell r="N32">
            <v>0</v>
          </cell>
          <cell r="O32">
            <v>16</v>
          </cell>
          <cell r="P32">
            <v>4</v>
          </cell>
          <cell r="Q32">
            <v>4719609</v>
          </cell>
          <cell r="R32">
            <v>0.02</v>
          </cell>
          <cell r="S32">
            <v>17711354</v>
          </cell>
          <cell r="T32">
            <v>0</v>
          </cell>
          <cell r="U32">
            <v>342036</v>
          </cell>
        </row>
        <row r="33">
          <cell r="B33">
            <v>32</v>
          </cell>
          <cell r="C33" t="str">
            <v>Livingston Parish</v>
          </cell>
          <cell r="D33">
            <v>3.29</v>
          </cell>
          <cell r="E33">
            <v>1844224</v>
          </cell>
          <cell r="F33">
            <v>19.18</v>
          </cell>
          <cell r="G33">
            <v>10751415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13.67</v>
          </cell>
          <cell r="P33">
            <v>10</v>
          </cell>
          <cell r="Q33">
            <v>6010158</v>
          </cell>
          <cell r="R33">
            <v>2.5000000000000001E-2</v>
          </cell>
          <cell r="S33">
            <v>52972278</v>
          </cell>
          <cell r="T33">
            <v>2410433</v>
          </cell>
          <cell r="U33">
            <v>985963</v>
          </cell>
        </row>
        <row r="34">
          <cell r="B34">
            <v>33</v>
          </cell>
          <cell r="C34" t="str">
            <v>Madison Parish</v>
          </cell>
          <cell r="D34">
            <v>4.58</v>
          </cell>
          <cell r="E34">
            <v>490349</v>
          </cell>
          <cell r="F34">
            <v>5.25</v>
          </cell>
          <cell r="G34">
            <v>559179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12</v>
          </cell>
          <cell r="M34">
            <v>1320133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2.5000000000000001E-2</v>
          </cell>
          <cell r="S34">
            <v>2249036</v>
          </cell>
          <cell r="T34">
            <v>1491001</v>
          </cell>
          <cell r="U34">
            <v>92064</v>
          </cell>
        </row>
        <row r="35">
          <cell r="B35">
            <v>34</v>
          </cell>
          <cell r="C35" t="str">
            <v>Morehouse Parish</v>
          </cell>
          <cell r="D35">
            <v>5.96</v>
          </cell>
          <cell r="E35">
            <v>875572</v>
          </cell>
          <cell r="F35">
            <v>22.46</v>
          </cell>
          <cell r="G35">
            <v>3299794</v>
          </cell>
          <cell r="H35">
            <v>0</v>
          </cell>
          <cell r="I35">
            <v>10</v>
          </cell>
          <cell r="J35">
            <v>0</v>
          </cell>
          <cell r="K35">
            <v>616817</v>
          </cell>
          <cell r="L35">
            <v>6</v>
          </cell>
          <cell r="M35">
            <v>881706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0.02</v>
          </cell>
          <cell r="S35">
            <v>6911687</v>
          </cell>
          <cell r="T35">
            <v>0</v>
          </cell>
          <cell r="U35">
            <v>197757</v>
          </cell>
        </row>
        <row r="36">
          <cell r="B36">
            <v>35</v>
          </cell>
          <cell r="C36" t="str">
            <v>Natchitoches Parish</v>
          </cell>
          <cell r="D36">
            <v>4.6500000000000004</v>
          </cell>
          <cell r="E36">
            <v>1597111</v>
          </cell>
          <cell r="F36">
            <v>7</v>
          </cell>
          <cell r="G36">
            <v>2404252</v>
          </cell>
          <cell r="H36">
            <v>0</v>
          </cell>
          <cell r="I36">
            <v>20</v>
          </cell>
          <cell r="J36">
            <v>5</v>
          </cell>
          <cell r="K36">
            <v>2977177</v>
          </cell>
          <cell r="L36">
            <v>0</v>
          </cell>
          <cell r="M36">
            <v>0</v>
          </cell>
          <cell r="N36">
            <v>0</v>
          </cell>
          <cell r="O36">
            <v>33</v>
          </cell>
          <cell r="P36">
            <v>3</v>
          </cell>
          <cell r="Q36">
            <v>3082509</v>
          </cell>
          <cell r="R36">
            <v>2.5000000000000001E-2</v>
          </cell>
          <cell r="S36">
            <v>16724606</v>
          </cell>
          <cell r="T36">
            <v>0</v>
          </cell>
          <cell r="U36">
            <v>384232</v>
          </cell>
        </row>
        <row r="37">
          <cell r="B37">
            <v>36</v>
          </cell>
          <cell r="C37" t="str">
            <v>Orleans Parish</v>
          </cell>
          <cell r="D37">
            <v>27.65</v>
          </cell>
          <cell r="E37">
            <v>115457751</v>
          </cell>
          <cell r="F37">
            <v>15.66</v>
          </cell>
          <cell r="G37">
            <v>65391262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</v>
          </cell>
          <cell r="M37">
            <v>8351375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1.4999999999999999E-2</v>
          </cell>
          <cell r="S37">
            <v>118255988</v>
          </cell>
          <cell r="T37">
            <v>10855173</v>
          </cell>
          <cell r="U37">
            <v>2654880</v>
          </cell>
        </row>
        <row r="38">
          <cell r="B38">
            <v>37</v>
          </cell>
          <cell r="C38" t="str">
            <v>Ouachita Parish</v>
          </cell>
          <cell r="D38">
            <v>5.18</v>
          </cell>
          <cell r="E38">
            <v>3866382</v>
          </cell>
          <cell r="F38">
            <v>24.15</v>
          </cell>
          <cell r="G38">
            <v>17718018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36</v>
          </cell>
          <cell r="P38">
            <v>0</v>
          </cell>
          <cell r="Q38">
            <v>9926935</v>
          </cell>
          <cell r="R38">
            <v>0.03</v>
          </cell>
          <cell r="S38">
            <v>38200189</v>
          </cell>
          <cell r="T38">
            <v>9247449</v>
          </cell>
          <cell r="U38">
            <v>808498</v>
          </cell>
        </row>
        <row r="39">
          <cell r="B39">
            <v>38</v>
          </cell>
          <cell r="C39" t="str">
            <v>Plaquemines Parish</v>
          </cell>
          <cell r="D39">
            <v>6.03</v>
          </cell>
          <cell r="E39">
            <v>6441316</v>
          </cell>
          <cell r="F39">
            <v>18.38</v>
          </cell>
          <cell r="G39">
            <v>19308986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55339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2.5000000000000001E-2</v>
          </cell>
          <cell r="S39">
            <v>16975011</v>
          </cell>
          <cell r="T39">
            <v>0</v>
          </cell>
          <cell r="U39">
            <v>100306</v>
          </cell>
        </row>
        <row r="40">
          <cell r="B40">
            <v>39</v>
          </cell>
          <cell r="C40" t="str">
            <v>Pointe Coupee Parish</v>
          </cell>
          <cell r="D40">
            <v>4.54</v>
          </cell>
          <cell r="E40">
            <v>2143467</v>
          </cell>
          <cell r="F40">
            <v>11.96</v>
          </cell>
          <cell r="G40">
            <v>5646663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0.02</v>
          </cell>
          <cell r="S40">
            <v>7349527</v>
          </cell>
          <cell r="T40">
            <v>0</v>
          </cell>
          <cell r="U40">
            <v>149851</v>
          </cell>
        </row>
        <row r="41">
          <cell r="B41">
            <v>40</v>
          </cell>
          <cell r="C41" t="str">
            <v>Rapides Parish</v>
          </cell>
          <cell r="D41">
            <v>4.93</v>
          </cell>
          <cell r="E41">
            <v>4111906</v>
          </cell>
          <cell r="F41">
            <v>21.64</v>
          </cell>
          <cell r="G41">
            <v>18099507</v>
          </cell>
          <cell r="H41">
            <v>0</v>
          </cell>
          <cell r="I41">
            <v>20.72</v>
          </cell>
          <cell r="J41">
            <v>13</v>
          </cell>
          <cell r="K41">
            <v>9248411</v>
          </cell>
          <cell r="L41">
            <v>0</v>
          </cell>
          <cell r="M41">
            <v>0</v>
          </cell>
          <cell r="N41">
            <v>0</v>
          </cell>
          <cell r="O41">
            <v>35</v>
          </cell>
          <cell r="P41">
            <v>9</v>
          </cell>
          <cell r="Q41">
            <v>5868308</v>
          </cell>
          <cell r="R41">
            <v>0.02</v>
          </cell>
          <cell r="S41">
            <v>54489916</v>
          </cell>
          <cell r="T41">
            <v>0</v>
          </cell>
          <cell r="U41">
            <v>1021524</v>
          </cell>
        </row>
        <row r="42">
          <cell r="B42">
            <v>41</v>
          </cell>
          <cell r="C42" t="str">
            <v>Red River Parish</v>
          </cell>
          <cell r="D42">
            <v>4.97</v>
          </cell>
          <cell r="E42">
            <v>1136994</v>
          </cell>
          <cell r="F42">
            <v>38.119999999999997</v>
          </cell>
          <cell r="G42">
            <v>8720784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9.6</v>
          </cell>
          <cell r="M42">
            <v>2196212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0.02</v>
          </cell>
          <cell r="S42">
            <v>4581902</v>
          </cell>
          <cell r="T42">
            <v>0</v>
          </cell>
          <cell r="U42">
            <v>74641</v>
          </cell>
        </row>
        <row r="43">
          <cell r="B43">
            <v>42</v>
          </cell>
          <cell r="C43" t="str">
            <v>Richland Parish</v>
          </cell>
          <cell r="D43">
            <v>9.6999999999999993</v>
          </cell>
          <cell r="E43">
            <v>1973270</v>
          </cell>
          <cell r="F43">
            <v>9.57</v>
          </cell>
          <cell r="G43">
            <v>1946829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31</v>
          </cell>
          <cell r="P43">
            <v>3</v>
          </cell>
          <cell r="Q43">
            <v>2866758</v>
          </cell>
          <cell r="R43">
            <v>0.02</v>
          </cell>
          <cell r="S43">
            <v>6359745</v>
          </cell>
          <cell r="T43">
            <v>0</v>
          </cell>
          <cell r="U43">
            <v>211432</v>
          </cell>
        </row>
        <row r="44">
          <cell r="B44">
            <v>43</v>
          </cell>
          <cell r="C44" t="str">
            <v>Sabine Parish</v>
          </cell>
          <cell r="D44">
            <v>5.35</v>
          </cell>
          <cell r="E44">
            <v>1070825</v>
          </cell>
          <cell r="F44">
            <v>9.02</v>
          </cell>
          <cell r="G44">
            <v>1805292</v>
          </cell>
          <cell r="H44">
            <v>0</v>
          </cell>
          <cell r="I44">
            <v>16.09</v>
          </cell>
          <cell r="J44">
            <v>7</v>
          </cell>
          <cell r="K44">
            <v>1916460</v>
          </cell>
          <cell r="L44">
            <v>0</v>
          </cell>
          <cell r="M44">
            <v>0</v>
          </cell>
          <cell r="N44">
            <v>0</v>
          </cell>
          <cell r="O44">
            <v>25.75</v>
          </cell>
          <cell r="P44">
            <v>7</v>
          </cell>
          <cell r="Q44">
            <v>1650758</v>
          </cell>
          <cell r="R44">
            <v>2.5000000000000001E-2</v>
          </cell>
          <cell r="S44">
            <v>12850625</v>
          </cell>
          <cell r="T44">
            <v>675962</v>
          </cell>
          <cell r="U44">
            <v>157920</v>
          </cell>
        </row>
        <row r="45">
          <cell r="B45">
            <v>44</v>
          </cell>
          <cell r="C45" t="str">
            <v>St. Bernard Parish</v>
          </cell>
          <cell r="D45">
            <v>3.83</v>
          </cell>
          <cell r="E45">
            <v>1578164</v>
          </cell>
          <cell r="F45">
            <v>37.39</v>
          </cell>
          <cell r="G45">
            <v>15406135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0.02</v>
          </cell>
          <cell r="S45">
            <v>15942894</v>
          </cell>
          <cell r="T45">
            <v>0</v>
          </cell>
          <cell r="U45">
            <v>72527</v>
          </cell>
        </row>
        <row r="46">
          <cell r="B46">
            <v>45</v>
          </cell>
          <cell r="C46" t="str">
            <v>St. Charles Parish</v>
          </cell>
          <cell r="D46">
            <v>4.12</v>
          </cell>
          <cell r="E46">
            <v>6452788</v>
          </cell>
          <cell r="F46">
            <v>41.71</v>
          </cell>
          <cell r="G46">
            <v>71169173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4.92</v>
          </cell>
          <cell r="M46">
            <v>7847640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0.03</v>
          </cell>
          <cell r="S46">
            <v>54679348</v>
          </cell>
          <cell r="T46">
            <v>324850</v>
          </cell>
          <cell r="U46">
            <v>262436</v>
          </cell>
        </row>
        <row r="47">
          <cell r="B47">
            <v>46</v>
          </cell>
          <cell r="C47" t="str">
            <v>St. Helena Parish</v>
          </cell>
          <cell r="D47">
            <v>3.38</v>
          </cell>
          <cell r="E47">
            <v>157416</v>
          </cell>
          <cell r="F47">
            <v>39.880000000000003</v>
          </cell>
          <cell r="G47">
            <v>1903242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0.02</v>
          </cell>
          <cell r="S47">
            <v>1618375</v>
          </cell>
          <cell r="T47">
            <v>0</v>
          </cell>
          <cell r="U47">
            <v>31085</v>
          </cell>
        </row>
        <row r="48">
          <cell r="B48">
            <v>47</v>
          </cell>
          <cell r="C48" t="str">
            <v>St. James Parish</v>
          </cell>
          <cell r="D48">
            <v>3.85</v>
          </cell>
          <cell r="E48">
            <v>2596548</v>
          </cell>
          <cell r="F48">
            <v>30.45</v>
          </cell>
          <cell r="G48">
            <v>20699475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10</v>
          </cell>
          <cell r="M48">
            <v>6577388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2.5000000000000001E-2</v>
          </cell>
          <cell r="S48">
            <v>24051610</v>
          </cell>
          <cell r="T48">
            <v>0</v>
          </cell>
          <cell r="U48">
            <v>80898</v>
          </cell>
        </row>
        <row r="49">
          <cell r="B49">
            <v>48</v>
          </cell>
          <cell r="C49" t="str">
            <v>St. John the Baptist Parish</v>
          </cell>
          <cell r="D49">
            <v>3.65</v>
          </cell>
          <cell r="E49">
            <v>1729271</v>
          </cell>
          <cell r="F49">
            <v>25.66</v>
          </cell>
          <cell r="G49">
            <v>11372550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11</v>
          </cell>
          <cell r="M49">
            <v>5076904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2.5000000000000001E-2</v>
          </cell>
          <cell r="S49">
            <v>30140604</v>
          </cell>
          <cell r="T49">
            <v>0</v>
          </cell>
          <cell r="U49">
            <v>60317</v>
          </cell>
        </row>
        <row r="50">
          <cell r="B50">
            <v>49</v>
          </cell>
          <cell r="C50" t="str">
            <v>St. Landry Parish</v>
          </cell>
          <cell r="D50">
            <v>4.37</v>
          </cell>
          <cell r="E50">
            <v>2846602</v>
          </cell>
          <cell r="F50">
            <v>16.149999999999999</v>
          </cell>
          <cell r="G50">
            <v>10520124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/>
          <cell r="M50"/>
          <cell r="N50"/>
          <cell r="O50"/>
          <cell r="P50"/>
          <cell r="Q50"/>
          <cell r="R50">
            <v>0.02</v>
          </cell>
          <cell r="S50">
            <v>24331172</v>
          </cell>
          <cell r="T50">
            <v>0</v>
          </cell>
          <cell r="U50">
            <v>592395</v>
          </cell>
        </row>
        <row r="51">
          <cell r="B51">
            <v>50</v>
          </cell>
          <cell r="C51" t="str">
            <v>St. Martin Parish</v>
          </cell>
          <cell r="D51">
            <v>2.48</v>
          </cell>
          <cell r="E51">
            <v>970431</v>
          </cell>
          <cell r="F51">
            <v>9.5299999999999994</v>
          </cell>
          <cell r="G51">
            <v>3728855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21.5</v>
          </cell>
          <cell r="M51">
            <v>8412534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0.02</v>
          </cell>
          <cell r="S51">
            <v>15187953</v>
          </cell>
          <cell r="T51">
            <v>0</v>
          </cell>
          <cell r="U51">
            <v>300487</v>
          </cell>
        </row>
        <row r="52">
          <cell r="B52">
            <v>51</v>
          </cell>
          <cell r="C52" t="str">
            <v>St. Mary Parish</v>
          </cell>
          <cell r="D52">
            <v>8.35</v>
          </cell>
          <cell r="E52">
            <v>4765224</v>
          </cell>
          <cell r="F52">
            <v>11.17</v>
          </cell>
          <cell r="G52">
            <v>6376205</v>
          </cell>
          <cell r="H52">
            <v>0</v>
          </cell>
          <cell r="I52">
            <v>12.17</v>
          </cell>
          <cell r="J52">
            <v>3</v>
          </cell>
          <cell r="K52">
            <v>6809399</v>
          </cell>
          <cell r="L52">
            <v>0</v>
          </cell>
          <cell r="M52">
            <v>0</v>
          </cell>
          <cell r="N52">
            <v>0</v>
          </cell>
          <cell r="O52">
            <v>20</v>
          </cell>
          <cell r="P52">
            <v>3</v>
          </cell>
          <cell r="Q52">
            <v>3973455</v>
          </cell>
          <cell r="R52">
            <v>1.7500000000000002E-2</v>
          </cell>
          <cell r="S52">
            <v>16039076</v>
          </cell>
          <cell r="T52">
            <v>0</v>
          </cell>
          <cell r="U52">
            <v>447652</v>
          </cell>
        </row>
        <row r="53">
          <cell r="B53">
            <v>52</v>
          </cell>
          <cell r="C53" t="str">
            <v>St. Tammany Parish</v>
          </cell>
          <cell r="D53">
            <v>3.65</v>
          </cell>
          <cell r="E53">
            <v>7731052</v>
          </cell>
          <cell r="F53">
            <v>44.86</v>
          </cell>
          <cell r="G53">
            <v>99162029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15.9</v>
          </cell>
          <cell r="M53">
            <v>29531382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0.02</v>
          </cell>
          <cell r="S53">
            <v>105638734</v>
          </cell>
          <cell r="T53">
            <v>0</v>
          </cell>
          <cell r="U53">
            <v>2092862</v>
          </cell>
        </row>
        <row r="54">
          <cell r="B54">
            <v>53</v>
          </cell>
          <cell r="C54" t="str">
            <v>Tangipahoa Parish</v>
          </cell>
          <cell r="D54">
            <v>4.0599999999999996</v>
          </cell>
          <cell r="E54">
            <v>2490383</v>
          </cell>
          <cell r="F54">
            <v>0</v>
          </cell>
          <cell r="G54">
            <v>0</v>
          </cell>
          <cell r="H54">
            <v>0</v>
          </cell>
          <cell r="I54">
            <v>15</v>
          </cell>
          <cell r="J54">
            <v>2</v>
          </cell>
          <cell r="K54">
            <v>4520426</v>
          </cell>
          <cell r="L54">
            <v>0</v>
          </cell>
          <cell r="M54">
            <v>0</v>
          </cell>
          <cell r="N54">
            <v>0</v>
          </cell>
          <cell r="O54">
            <v>13</v>
          </cell>
          <cell r="P54">
            <v>2</v>
          </cell>
          <cell r="Q54">
            <v>463217</v>
          </cell>
          <cell r="R54">
            <v>0.02</v>
          </cell>
          <cell r="S54">
            <v>46272783</v>
          </cell>
          <cell r="T54">
            <v>1100000</v>
          </cell>
          <cell r="U54">
            <v>157302</v>
          </cell>
        </row>
        <row r="55">
          <cell r="B55">
            <v>54</v>
          </cell>
          <cell r="C55" t="str">
            <v>Tensas Parish</v>
          </cell>
          <cell r="D55">
            <v>5.42</v>
          </cell>
          <cell r="E55">
            <v>361223</v>
          </cell>
          <cell r="F55">
            <v>32.28</v>
          </cell>
          <cell r="G55">
            <v>1736709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1.4999999999999999E-2</v>
          </cell>
          <cell r="S55">
            <v>664977</v>
          </cell>
          <cell r="T55">
            <v>0</v>
          </cell>
          <cell r="U55">
            <v>28163</v>
          </cell>
        </row>
        <row r="56">
          <cell r="B56">
            <v>55</v>
          </cell>
          <cell r="C56" t="str">
            <v>Terrebonne Parish</v>
          </cell>
          <cell r="D56">
            <v>3.86</v>
          </cell>
          <cell r="E56">
            <v>3826782</v>
          </cell>
          <cell r="F56">
            <v>5.41</v>
          </cell>
          <cell r="G56">
            <v>5363444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2.58E-2</v>
          </cell>
          <cell r="S56">
            <v>58128417</v>
          </cell>
          <cell r="T56">
            <v>0</v>
          </cell>
          <cell r="U56">
            <v>319118</v>
          </cell>
        </row>
        <row r="57">
          <cell r="B57">
            <v>56</v>
          </cell>
          <cell r="C57" t="str">
            <v>Union Parish</v>
          </cell>
          <cell r="D57">
            <v>3.55</v>
          </cell>
          <cell r="E57">
            <v>589340</v>
          </cell>
          <cell r="F57">
            <v>15</v>
          </cell>
          <cell r="G57">
            <v>2296131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16.5</v>
          </cell>
          <cell r="M57">
            <v>2638942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0.03</v>
          </cell>
          <cell r="S57">
            <v>7511408</v>
          </cell>
          <cell r="T57">
            <v>0</v>
          </cell>
          <cell r="U57">
            <v>101969</v>
          </cell>
        </row>
        <row r="58">
          <cell r="B58">
            <v>57</v>
          </cell>
          <cell r="C58" t="str">
            <v>Vermilion Parish</v>
          </cell>
          <cell r="D58">
            <v>4.6500000000000004</v>
          </cell>
          <cell r="E58">
            <v>1383591</v>
          </cell>
          <cell r="F58">
            <v>35</v>
          </cell>
          <cell r="G58">
            <v>10414041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1.4999999999999999E-2</v>
          </cell>
          <cell r="S58">
            <v>11585382</v>
          </cell>
          <cell r="T58">
            <v>0</v>
          </cell>
          <cell r="U58">
            <v>1043134</v>
          </cell>
        </row>
        <row r="59">
          <cell r="B59">
            <v>58</v>
          </cell>
          <cell r="C59" t="str">
            <v>Vernon Parish</v>
          </cell>
          <cell r="D59">
            <v>4.18</v>
          </cell>
          <cell r="E59">
            <v>579165</v>
          </cell>
          <cell r="F59">
            <v>8.1199999999999992</v>
          </cell>
          <cell r="G59">
            <v>1125077</v>
          </cell>
          <cell r="H59">
            <v>0</v>
          </cell>
          <cell r="I59">
            <v>19.11</v>
          </cell>
          <cell r="J59">
            <v>0</v>
          </cell>
          <cell r="K59">
            <v>2176620</v>
          </cell>
          <cell r="L59">
            <v>0</v>
          </cell>
          <cell r="M59">
            <v>0</v>
          </cell>
          <cell r="N59">
            <v>0</v>
          </cell>
          <cell r="O59">
            <v>34.76</v>
          </cell>
          <cell r="P59">
            <v>0</v>
          </cell>
          <cell r="Q59">
            <v>4061189</v>
          </cell>
          <cell r="R59">
            <v>0.02</v>
          </cell>
          <cell r="S59">
            <v>13349785</v>
          </cell>
          <cell r="T59">
            <v>0</v>
          </cell>
          <cell r="U59">
            <v>365521</v>
          </cell>
        </row>
        <row r="60">
          <cell r="B60">
            <v>59</v>
          </cell>
          <cell r="C60" t="str">
            <v>Washington Parish</v>
          </cell>
          <cell r="D60">
            <v>3.91</v>
          </cell>
          <cell r="E60">
            <v>397338</v>
          </cell>
          <cell r="F60">
            <v>15.07</v>
          </cell>
          <cell r="G60">
            <v>1531429</v>
          </cell>
          <cell r="H60">
            <v>0</v>
          </cell>
          <cell r="I60">
            <v>5.19</v>
          </cell>
          <cell r="J60">
            <v>1</v>
          </cell>
          <cell r="K60">
            <v>37035</v>
          </cell>
          <cell r="L60">
            <v>0</v>
          </cell>
          <cell r="M60">
            <v>0</v>
          </cell>
          <cell r="N60">
            <v>0</v>
          </cell>
          <cell r="O60">
            <v>14</v>
          </cell>
          <cell r="P60">
            <v>1</v>
          </cell>
          <cell r="Q60">
            <v>1095567</v>
          </cell>
          <cell r="R60">
            <v>0.02</v>
          </cell>
          <cell r="S60">
            <v>5096316</v>
          </cell>
          <cell r="T60">
            <v>0</v>
          </cell>
          <cell r="U60">
            <v>162491</v>
          </cell>
        </row>
        <row r="61">
          <cell r="B61">
            <v>60</v>
          </cell>
          <cell r="C61" t="str">
            <v>Webster Parish</v>
          </cell>
          <cell r="D61">
            <v>4.22</v>
          </cell>
          <cell r="E61">
            <v>1065125</v>
          </cell>
          <cell r="F61">
            <v>11.57</v>
          </cell>
          <cell r="G61">
            <v>2918876</v>
          </cell>
          <cell r="H61">
            <v>0</v>
          </cell>
          <cell r="I61">
            <v>26.7</v>
          </cell>
          <cell r="J61">
            <v>5</v>
          </cell>
          <cell r="K61">
            <v>1849831</v>
          </cell>
          <cell r="L61">
            <v>0</v>
          </cell>
          <cell r="M61">
            <v>0</v>
          </cell>
          <cell r="N61">
            <v>0</v>
          </cell>
          <cell r="O61">
            <v>33</v>
          </cell>
          <cell r="P61">
            <v>6</v>
          </cell>
          <cell r="Q61">
            <v>6618353</v>
          </cell>
          <cell r="R61">
            <v>2.1299999999999999E-2</v>
          </cell>
          <cell r="S61">
            <v>14728534</v>
          </cell>
          <cell r="T61">
            <v>0</v>
          </cell>
          <cell r="U61">
            <v>295283</v>
          </cell>
        </row>
        <row r="62">
          <cell r="B62">
            <v>61</v>
          </cell>
          <cell r="C62" t="str">
            <v>West Baton Rouge Parish</v>
          </cell>
          <cell r="D62">
            <v>4.3899999999999997</v>
          </cell>
          <cell r="E62">
            <v>2050724</v>
          </cell>
          <cell r="F62">
            <v>39</v>
          </cell>
          <cell r="G62">
            <v>18218278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14.75</v>
          </cell>
          <cell r="M62">
            <v>6890246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0.02</v>
          </cell>
          <cell r="S62">
            <v>15844103</v>
          </cell>
          <cell r="T62">
            <v>0</v>
          </cell>
          <cell r="U62">
            <v>183961</v>
          </cell>
        </row>
        <row r="63">
          <cell r="B63">
            <v>62</v>
          </cell>
          <cell r="C63" t="str">
            <v>West Carroll Parish</v>
          </cell>
          <cell r="D63">
            <v>7.5</v>
          </cell>
          <cell r="E63">
            <v>494177</v>
          </cell>
          <cell r="F63">
            <v>18.670000000000002</v>
          </cell>
          <cell r="G63">
            <v>1230153</v>
          </cell>
          <cell r="H63">
            <v>4.74</v>
          </cell>
          <cell r="I63">
            <v>4.74</v>
          </cell>
          <cell r="J63">
            <v>1</v>
          </cell>
          <cell r="K63">
            <v>143463</v>
          </cell>
          <cell r="L63"/>
          <cell r="M63"/>
          <cell r="N63"/>
          <cell r="O63"/>
          <cell r="P63"/>
          <cell r="Q63"/>
          <cell r="R63">
            <v>0.02</v>
          </cell>
          <cell r="S63">
            <v>2897892</v>
          </cell>
          <cell r="T63">
            <v>0</v>
          </cell>
          <cell r="U63">
            <v>80380</v>
          </cell>
        </row>
        <row r="64">
          <cell r="B64">
            <v>63</v>
          </cell>
          <cell r="C64" t="str">
            <v>West Feliciana Parish</v>
          </cell>
          <cell r="D64">
            <v>4.46</v>
          </cell>
          <cell r="E64">
            <v>1686118</v>
          </cell>
          <cell r="F64">
            <v>29.5</v>
          </cell>
          <cell r="G64">
            <v>10847648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5.8</v>
          </cell>
          <cell r="M64">
            <v>2192386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0.03</v>
          </cell>
          <cell r="S64">
            <v>7572800</v>
          </cell>
          <cell r="T64">
            <v>0</v>
          </cell>
          <cell r="U64">
            <v>57832</v>
          </cell>
        </row>
        <row r="65">
          <cell r="B65">
            <v>64</v>
          </cell>
          <cell r="C65" t="str">
            <v>Winn Parish</v>
          </cell>
          <cell r="D65">
            <v>4.93</v>
          </cell>
          <cell r="E65">
            <v>346246</v>
          </cell>
          <cell r="F65">
            <v>15.72</v>
          </cell>
          <cell r="G65">
            <v>1104063</v>
          </cell>
          <cell r="H65">
            <v>0</v>
          </cell>
          <cell r="I65">
            <v>3.44</v>
          </cell>
          <cell r="J65">
            <v>2</v>
          </cell>
          <cell r="K65">
            <v>189375</v>
          </cell>
          <cell r="L65">
            <v>0</v>
          </cell>
          <cell r="M65">
            <v>0</v>
          </cell>
          <cell r="N65">
            <v>0</v>
          </cell>
          <cell r="O65">
            <v>35</v>
          </cell>
          <cell r="P65">
            <v>0</v>
          </cell>
          <cell r="Q65">
            <v>513505</v>
          </cell>
          <cell r="R65">
            <v>0.02</v>
          </cell>
          <cell r="S65">
            <v>4292312</v>
          </cell>
          <cell r="T65">
            <v>0</v>
          </cell>
          <cell r="U65">
            <v>226626</v>
          </cell>
        </row>
        <row r="66">
          <cell r="B66">
            <v>65</v>
          </cell>
          <cell r="C66" t="str">
            <v>City of Monroe School District</v>
          </cell>
          <cell r="D66">
            <v>7.07</v>
          </cell>
          <cell r="E66">
            <v>2838819</v>
          </cell>
          <cell r="F66">
            <v>20.56</v>
          </cell>
          <cell r="G66">
            <v>8250319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7.85</v>
          </cell>
          <cell r="M66">
            <v>3180947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0.02</v>
          </cell>
          <cell r="S66">
            <v>27898691</v>
          </cell>
          <cell r="T66">
            <v>0</v>
          </cell>
          <cell r="U66">
            <v>258060</v>
          </cell>
        </row>
        <row r="67">
          <cell r="B67">
            <v>66</v>
          </cell>
          <cell r="C67" t="str">
            <v>City of Bogalusa School District</v>
          </cell>
          <cell r="D67">
            <v>6.43</v>
          </cell>
          <cell r="E67">
            <v>555179</v>
          </cell>
          <cell r="F67">
            <v>56.61</v>
          </cell>
          <cell r="G67">
            <v>5104479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0.01</v>
          </cell>
          <cell r="S67">
            <v>3002148</v>
          </cell>
          <cell r="T67">
            <v>0</v>
          </cell>
          <cell r="U67">
            <v>194122</v>
          </cell>
        </row>
        <row r="68">
          <cell r="B68">
            <v>67</v>
          </cell>
          <cell r="C68" t="str">
            <v>Zachary Community School District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38.200000000000003</v>
          </cell>
          <cell r="J68">
            <v>1</v>
          </cell>
          <cell r="K68">
            <v>11767682</v>
          </cell>
          <cell r="L68">
            <v>0</v>
          </cell>
          <cell r="M68">
            <v>0</v>
          </cell>
          <cell r="N68">
            <v>0</v>
          </cell>
          <cell r="O68">
            <v>34</v>
          </cell>
          <cell r="P68">
            <v>1</v>
          </cell>
          <cell r="Q68">
            <v>10460791</v>
          </cell>
          <cell r="R68">
            <v>0.02</v>
          </cell>
          <cell r="S68">
            <v>10164103</v>
          </cell>
          <cell r="T68">
            <v>0</v>
          </cell>
          <cell r="U68">
            <v>97336</v>
          </cell>
        </row>
        <row r="69">
          <cell r="B69">
            <v>68</v>
          </cell>
          <cell r="C69" t="str">
            <v>City of Baker School District</v>
          </cell>
          <cell r="D69">
            <v>5</v>
          </cell>
          <cell r="E69">
            <v>244665</v>
          </cell>
          <cell r="F69">
            <v>38.200000000000003</v>
          </cell>
          <cell r="G69">
            <v>1878751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0.02</v>
          </cell>
          <cell r="S69">
            <v>3694059</v>
          </cell>
          <cell r="T69">
            <v>0</v>
          </cell>
          <cell r="U69">
            <v>45719</v>
          </cell>
        </row>
        <row r="70">
          <cell r="B70">
            <v>69</v>
          </cell>
          <cell r="C70" t="str">
            <v>Central Community School District</v>
          </cell>
          <cell r="D70">
            <v>3.91</v>
          </cell>
          <cell r="E70">
            <v>651623</v>
          </cell>
          <cell r="F70">
            <v>30.06</v>
          </cell>
          <cell r="G70">
            <v>5021151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23.65</v>
          </cell>
          <cell r="M70">
            <v>3949073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2.5000000000000001E-2</v>
          </cell>
          <cell r="S70">
            <v>7607032</v>
          </cell>
          <cell r="T70">
            <v>1902082</v>
          </cell>
          <cell r="U70">
            <v>4000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>
            <v>1</v>
          </cell>
          <cell r="B3" t="str">
            <v>Acadia</v>
          </cell>
          <cell r="C3">
            <v>11867841</v>
          </cell>
          <cell r="D3">
            <v>0</v>
          </cell>
          <cell r="E3">
            <v>11867841</v>
          </cell>
          <cell r="F3">
            <v>12427018</v>
          </cell>
          <cell r="G3">
            <v>0</v>
          </cell>
          <cell r="H3">
            <v>12427018</v>
          </cell>
        </row>
        <row r="4">
          <cell r="A4">
            <v>2</v>
          </cell>
          <cell r="B4" t="str">
            <v xml:space="preserve">Allen                  </v>
          </cell>
          <cell r="C4">
            <v>5779410</v>
          </cell>
          <cell r="D4">
            <v>0</v>
          </cell>
          <cell r="E4">
            <v>5779410</v>
          </cell>
          <cell r="F4">
            <v>7690491</v>
          </cell>
          <cell r="G4">
            <v>0</v>
          </cell>
          <cell r="H4">
            <v>7690491</v>
          </cell>
        </row>
        <row r="5">
          <cell r="A5">
            <v>3</v>
          </cell>
          <cell r="B5" t="str">
            <v xml:space="preserve">Ascension        </v>
          </cell>
          <cell r="C5">
            <v>88233675</v>
          </cell>
          <cell r="D5">
            <v>0</v>
          </cell>
          <cell r="E5">
            <v>88233675</v>
          </cell>
          <cell r="F5">
            <v>66829877</v>
          </cell>
          <cell r="G5">
            <v>0</v>
          </cell>
          <cell r="H5">
            <v>66829877</v>
          </cell>
        </row>
        <row r="6">
          <cell r="A6">
            <v>4</v>
          </cell>
          <cell r="B6" t="str">
            <v xml:space="preserve">Assumption     </v>
          </cell>
          <cell r="C6">
            <v>7735468</v>
          </cell>
          <cell r="D6">
            <v>0</v>
          </cell>
          <cell r="E6">
            <v>7735468</v>
          </cell>
          <cell r="F6">
            <v>6525482</v>
          </cell>
          <cell r="G6">
            <v>0</v>
          </cell>
          <cell r="H6">
            <v>6525482</v>
          </cell>
        </row>
        <row r="7">
          <cell r="A7">
            <v>5</v>
          </cell>
          <cell r="B7" t="str">
            <v xml:space="preserve">Avoyelles          </v>
          </cell>
          <cell r="C7">
            <v>3514037</v>
          </cell>
          <cell r="D7">
            <v>0</v>
          </cell>
          <cell r="E7">
            <v>3514037</v>
          </cell>
          <cell r="F7">
            <v>8351435</v>
          </cell>
          <cell r="G7">
            <v>0</v>
          </cell>
          <cell r="H7">
            <v>8351435</v>
          </cell>
        </row>
        <row r="8">
          <cell r="A8">
            <v>6</v>
          </cell>
          <cell r="B8" t="str">
            <v xml:space="preserve">Beauregard       </v>
          </cell>
          <cell r="C8">
            <v>14445180</v>
          </cell>
          <cell r="D8">
            <v>0</v>
          </cell>
          <cell r="E8">
            <v>14445180</v>
          </cell>
          <cell r="F8">
            <v>13503458</v>
          </cell>
          <cell r="G8">
            <v>0</v>
          </cell>
          <cell r="H8">
            <v>13503458</v>
          </cell>
        </row>
        <row r="9">
          <cell r="A9">
            <v>7</v>
          </cell>
          <cell r="B9" t="str">
            <v xml:space="preserve">Bienville             </v>
          </cell>
          <cell r="C9">
            <v>21283562</v>
          </cell>
          <cell r="D9">
            <v>0</v>
          </cell>
          <cell r="E9">
            <v>21283562</v>
          </cell>
          <cell r="F9">
            <v>4949752</v>
          </cell>
          <cell r="G9">
            <v>0</v>
          </cell>
          <cell r="H9">
            <v>4949752</v>
          </cell>
        </row>
        <row r="10">
          <cell r="A10">
            <v>8</v>
          </cell>
          <cell r="B10" t="str">
            <v xml:space="preserve">Bossier              </v>
          </cell>
          <cell r="C10">
            <v>66046190</v>
          </cell>
          <cell r="D10">
            <v>0</v>
          </cell>
          <cell r="E10">
            <v>66046190</v>
          </cell>
          <cell r="F10">
            <v>48720733</v>
          </cell>
          <cell r="G10">
            <v>0</v>
          </cell>
          <cell r="H10">
            <v>48720733</v>
          </cell>
        </row>
        <row r="11">
          <cell r="A11">
            <v>9</v>
          </cell>
          <cell r="B11" t="str">
            <v xml:space="preserve">Caddo                 </v>
          </cell>
          <cell r="C11">
            <v>134596294</v>
          </cell>
          <cell r="D11">
            <v>0</v>
          </cell>
          <cell r="E11">
            <v>134596294</v>
          </cell>
          <cell r="F11">
            <v>79496736</v>
          </cell>
          <cell r="G11">
            <v>0</v>
          </cell>
          <cell r="H11">
            <v>79496736</v>
          </cell>
        </row>
        <row r="12">
          <cell r="A12">
            <v>10</v>
          </cell>
          <cell r="B12" t="str">
            <v xml:space="preserve">Calcasieu           </v>
          </cell>
          <cell r="C12">
            <v>71539322</v>
          </cell>
          <cell r="D12">
            <v>0</v>
          </cell>
          <cell r="E12">
            <v>71539322</v>
          </cell>
          <cell r="F12">
            <v>153260354</v>
          </cell>
          <cell r="G12">
            <v>0</v>
          </cell>
          <cell r="H12">
            <v>153260354</v>
          </cell>
        </row>
        <row r="13">
          <cell r="A13">
            <v>11</v>
          </cell>
          <cell r="B13" t="str">
            <v xml:space="preserve">Caldwell             </v>
          </cell>
          <cell r="C13">
            <v>2939421</v>
          </cell>
          <cell r="D13">
            <v>0</v>
          </cell>
          <cell r="E13">
            <v>2939421</v>
          </cell>
          <cell r="F13">
            <v>2279931</v>
          </cell>
          <cell r="G13">
            <v>0</v>
          </cell>
          <cell r="H13">
            <v>2279931</v>
          </cell>
        </row>
        <row r="14">
          <cell r="A14">
            <v>12</v>
          </cell>
          <cell r="B14" t="str">
            <v xml:space="preserve">Cameron            </v>
          </cell>
          <cell r="C14">
            <v>11395518</v>
          </cell>
          <cell r="D14">
            <v>0</v>
          </cell>
          <cell r="E14">
            <v>11395518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 t="str">
            <v xml:space="preserve">Catahoula           </v>
          </cell>
          <cell r="C15">
            <v>927027</v>
          </cell>
          <cell r="D15">
            <v>0</v>
          </cell>
          <cell r="E15">
            <v>927027</v>
          </cell>
          <cell r="F15">
            <v>2669130</v>
          </cell>
          <cell r="G15">
            <v>0</v>
          </cell>
          <cell r="H15">
            <v>2669130</v>
          </cell>
        </row>
        <row r="16">
          <cell r="A16">
            <v>14</v>
          </cell>
          <cell r="B16" t="str">
            <v xml:space="preserve">Claiborne            </v>
          </cell>
          <cell r="C16">
            <v>4468057</v>
          </cell>
          <cell r="D16">
            <v>0</v>
          </cell>
          <cell r="E16">
            <v>4468057</v>
          </cell>
          <cell r="F16">
            <v>2643264</v>
          </cell>
          <cell r="G16">
            <v>0</v>
          </cell>
          <cell r="H16">
            <v>2643264</v>
          </cell>
        </row>
        <row r="17">
          <cell r="A17">
            <v>15</v>
          </cell>
          <cell r="B17" t="str">
            <v xml:space="preserve">Concordia           </v>
          </cell>
          <cell r="C17">
            <v>5450199</v>
          </cell>
          <cell r="D17">
            <v>0</v>
          </cell>
          <cell r="E17">
            <v>5450199</v>
          </cell>
          <cell r="F17">
            <v>5581235</v>
          </cell>
          <cell r="G17">
            <v>0</v>
          </cell>
          <cell r="H17">
            <v>5581235</v>
          </cell>
        </row>
        <row r="18">
          <cell r="A18">
            <v>16</v>
          </cell>
          <cell r="B18" t="str">
            <v xml:space="preserve">DeSoto               </v>
          </cell>
          <cell r="C18">
            <v>42702812</v>
          </cell>
          <cell r="D18">
            <v>0</v>
          </cell>
          <cell r="E18">
            <v>42702812</v>
          </cell>
          <cell r="F18">
            <v>25844708</v>
          </cell>
          <cell r="G18">
            <v>0</v>
          </cell>
          <cell r="H18">
            <v>25844708</v>
          </cell>
        </row>
        <row r="19">
          <cell r="A19">
            <v>17</v>
          </cell>
          <cell r="B19" t="str">
            <v>East Baton Rouge</v>
          </cell>
          <cell r="C19">
            <v>172923677</v>
          </cell>
          <cell r="D19">
            <v>0</v>
          </cell>
          <cell r="E19">
            <v>172923677</v>
          </cell>
          <cell r="F19">
            <v>178160212</v>
          </cell>
          <cell r="G19">
            <v>0</v>
          </cell>
          <cell r="H19">
            <v>178160212</v>
          </cell>
        </row>
        <row r="20">
          <cell r="A20">
            <v>18</v>
          </cell>
          <cell r="B20" t="str">
            <v xml:space="preserve">East Carroll        </v>
          </cell>
          <cell r="C20">
            <v>791976</v>
          </cell>
          <cell r="D20">
            <v>0</v>
          </cell>
          <cell r="E20">
            <v>791976</v>
          </cell>
          <cell r="F20">
            <v>1815260</v>
          </cell>
          <cell r="G20">
            <v>0</v>
          </cell>
          <cell r="H20">
            <v>1815260</v>
          </cell>
        </row>
        <row r="21">
          <cell r="A21">
            <v>19</v>
          </cell>
          <cell r="B21" t="str">
            <v xml:space="preserve">East Feliciana     </v>
          </cell>
          <cell r="C21">
            <v>3630095</v>
          </cell>
          <cell r="D21">
            <v>141690</v>
          </cell>
          <cell r="E21">
            <v>3771785</v>
          </cell>
          <cell r="F21">
            <v>3701332</v>
          </cell>
          <cell r="G21">
            <v>15824</v>
          </cell>
          <cell r="H21">
            <v>3717156</v>
          </cell>
        </row>
        <row r="22">
          <cell r="A22">
            <v>20</v>
          </cell>
          <cell r="B22" t="str">
            <v xml:space="preserve">Evangeline         </v>
          </cell>
          <cell r="C22">
            <v>7660638</v>
          </cell>
          <cell r="D22">
            <v>0</v>
          </cell>
          <cell r="E22">
            <v>7660638</v>
          </cell>
          <cell r="F22">
            <v>7580227</v>
          </cell>
          <cell r="G22">
            <v>0</v>
          </cell>
          <cell r="H22">
            <v>7580227</v>
          </cell>
        </row>
        <row r="23">
          <cell r="A23">
            <v>21</v>
          </cell>
          <cell r="B23" t="str">
            <v xml:space="preserve">Franklin              </v>
          </cell>
          <cell r="C23">
            <v>2558649</v>
          </cell>
          <cell r="D23">
            <v>0</v>
          </cell>
          <cell r="E23">
            <v>2558649</v>
          </cell>
          <cell r="F23">
            <v>5543815</v>
          </cell>
          <cell r="G23">
            <v>0</v>
          </cell>
          <cell r="H23">
            <v>5543815</v>
          </cell>
        </row>
        <row r="24">
          <cell r="A24">
            <v>22</v>
          </cell>
          <cell r="B24" t="str">
            <v xml:space="preserve">Grant                  </v>
          </cell>
          <cell r="C24">
            <v>3305883</v>
          </cell>
          <cell r="D24">
            <v>0</v>
          </cell>
          <cell r="E24">
            <v>3305883</v>
          </cell>
          <cell r="F24">
            <v>2804660</v>
          </cell>
          <cell r="G24">
            <v>0</v>
          </cell>
          <cell r="H24">
            <v>2804660</v>
          </cell>
        </row>
        <row r="25">
          <cell r="A25">
            <v>23</v>
          </cell>
          <cell r="B25" t="str">
            <v xml:space="preserve">Iberia                  </v>
          </cell>
          <cell r="C25">
            <v>19220323</v>
          </cell>
          <cell r="D25">
            <v>0</v>
          </cell>
          <cell r="E25">
            <v>19220323</v>
          </cell>
          <cell r="F25">
            <v>26361116</v>
          </cell>
          <cell r="G25">
            <v>0</v>
          </cell>
          <cell r="H25">
            <v>26361116</v>
          </cell>
        </row>
        <row r="26">
          <cell r="A26">
            <v>24</v>
          </cell>
          <cell r="B26" t="str">
            <v xml:space="preserve">Iberville                </v>
          </cell>
          <cell r="C26">
            <v>40615553</v>
          </cell>
          <cell r="D26">
            <v>0</v>
          </cell>
          <cell r="E26">
            <v>40615553</v>
          </cell>
          <cell r="F26">
            <v>29103509</v>
          </cell>
          <cell r="G26">
            <v>0</v>
          </cell>
          <cell r="H26">
            <v>29103509</v>
          </cell>
        </row>
        <row r="27">
          <cell r="A27">
            <v>25</v>
          </cell>
          <cell r="B27" t="str">
            <v xml:space="preserve">Jackson                </v>
          </cell>
          <cell r="C27">
            <v>5192773</v>
          </cell>
          <cell r="D27">
            <v>0</v>
          </cell>
          <cell r="E27">
            <v>5192773</v>
          </cell>
          <cell r="F27">
            <v>5157087</v>
          </cell>
          <cell r="G27">
            <v>0</v>
          </cell>
          <cell r="H27">
            <v>5157087</v>
          </cell>
        </row>
        <row r="28">
          <cell r="A28">
            <v>26</v>
          </cell>
          <cell r="B28" t="str">
            <v xml:space="preserve">Jefferson             </v>
          </cell>
          <cell r="C28">
            <v>116415844</v>
          </cell>
          <cell r="D28">
            <v>0</v>
          </cell>
          <cell r="E28">
            <v>116415844</v>
          </cell>
          <cell r="F28">
            <v>204854529</v>
          </cell>
          <cell r="G28">
            <v>0</v>
          </cell>
          <cell r="H28">
            <v>204854529</v>
          </cell>
        </row>
        <row r="29">
          <cell r="A29">
            <v>27</v>
          </cell>
          <cell r="B29" t="str">
            <v xml:space="preserve">Jefferson Davis  </v>
          </cell>
          <cell r="C29">
            <v>8591212</v>
          </cell>
          <cell r="D29">
            <v>0</v>
          </cell>
          <cell r="E29">
            <v>8591212</v>
          </cell>
          <cell r="F29">
            <v>11883984</v>
          </cell>
          <cell r="G29">
            <v>0</v>
          </cell>
          <cell r="H29">
            <v>11883984</v>
          </cell>
        </row>
        <row r="30">
          <cell r="A30">
            <v>28</v>
          </cell>
          <cell r="B30" t="str">
            <v xml:space="preserve">Lafayette             </v>
          </cell>
          <cell r="C30">
            <v>75557810</v>
          </cell>
          <cell r="D30">
            <v>0</v>
          </cell>
          <cell r="E30">
            <v>75557810</v>
          </cell>
          <cell r="F30">
            <v>115313892</v>
          </cell>
          <cell r="G30">
            <v>0</v>
          </cell>
          <cell r="H30">
            <v>115313892</v>
          </cell>
        </row>
        <row r="31">
          <cell r="A31">
            <v>29</v>
          </cell>
          <cell r="B31" t="str">
            <v xml:space="preserve">Lafourche          </v>
          </cell>
          <cell r="C31">
            <v>40735708</v>
          </cell>
          <cell r="D31">
            <v>0</v>
          </cell>
          <cell r="E31">
            <v>40735708</v>
          </cell>
          <cell r="F31">
            <v>31584714</v>
          </cell>
          <cell r="G31">
            <v>0</v>
          </cell>
          <cell r="H31">
            <v>31584714</v>
          </cell>
        </row>
        <row r="32">
          <cell r="A32">
            <v>30</v>
          </cell>
          <cell r="B32" t="str">
            <v xml:space="preserve">LaSalle               </v>
          </cell>
          <cell r="C32">
            <v>3777188</v>
          </cell>
          <cell r="D32">
            <v>0</v>
          </cell>
          <cell r="E32">
            <v>3777188</v>
          </cell>
          <cell r="F32">
            <v>7834339</v>
          </cell>
          <cell r="G32">
            <v>0</v>
          </cell>
          <cell r="H32">
            <v>7834339</v>
          </cell>
        </row>
        <row r="33">
          <cell r="A33">
            <v>31</v>
          </cell>
          <cell r="B33" t="str">
            <v xml:space="preserve">Lincoln                </v>
          </cell>
          <cell r="C33">
            <v>20540965</v>
          </cell>
          <cell r="D33">
            <v>0</v>
          </cell>
          <cell r="E33">
            <v>20540965</v>
          </cell>
          <cell r="F33">
            <v>17711354</v>
          </cell>
          <cell r="G33">
            <v>0</v>
          </cell>
          <cell r="H33">
            <v>17711354</v>
          </cell>
        </row>
        <row r="34">
          <cell r="A34">
            <v>32</v>
          </cell>
          <cell r="B34" t="str">
            <v xml:space="preserve">Livingston          </v>
          </cell>
          <cell r="C34">
            <v>18605797</v>
          </cell>
          <cell r="D34">
            <v>0</v>
          </cell>
          <cell r="E34">
            <v>18605797</v>
          </cell>
          <cell r="F34">
            <v>55382711</v>
          </cell>
          <cell r="G34">
            <v>0</v>
          </cell>
          <cell r="H34">
            <v>55382711</v>
          </cell>
        </row>
        <row r="35">
          <cell r="A35">
            <v>33</v>
          </cell>
          <cell r="B35" t="str">
            <v xml:space="preserve">Madison             </v>
          </cell>
          <cell r="C35">
            <v>2369661</v>
          </cell>
          <cell r="D35">
            <v>0</v>
          </cell>
          <cell r="E35">
            <v>2369661</v>
          </cell>
          <cell r="F35">
            <v>3740037</v>
          </cell>
          <cell r="G35">
            <v>0</v>
          </cell>
          <cell r="H35">
            <v>3740037</v>
          </cell>
        </row>
        <row r="36">
          <cell r="A36">
            <v>34</v>
          </cell>
          <cell r="B36" t="str">
            <v xml:space="preserve">Morehouse       </v>
          </cell>
          <cell r="C36">
            <v>5673889</v>
          </cell>
          <cell r="D36">
            <v>0</v>
          </cell>
          <cell r="E36">
            <v>5673889</v>
          </cell>
          <cell r="F36">
            <v>6911687</v>
          </cell>
          <cell r="G36">
            <v>0</v>
          </cell>
          <cell r="H36">
            <v>6911687</v>
          </cell>
        </row>
        <row r="37">
          <cell r="A37">
            <v>35</v>
          </cell>
          <cell r="B37" t="str">
            <v xml:space="preserve">Natchitoches     </v>
          </cell>
          <cell r="C37">
            <v>10061049</v>
          </cell>
          <cell r="D37">
            <v>0</v>
          </cell>
          <cell r="E37">
            <v>10061049</v>
          </cell>
          <cell r="F37">
            <v>16724606</v>
          </cell>
          <cell r="G37">
            <v>0</v>
          </cell>
          <cell r="H37">
            <v>16724606</v>
          </cell>
        </row>
        <row r="38">
          <cell r="A38">
            <v>36</v>
          </cell>
          <cell r="B38" t="str">
            <v xml:space="preserve">Orleans              </v>
          </cell>
          <cell r="C38">
            <v>189200388</v>
          </cell>
          <cell r="D38">
            <v>0</v>
          </cell>
          <cell r="E38">
            <v>189200388</v>
          </cell>
          <cell r="F38">
            <v>129111161</v>
          </cell>
          <cell r="G38">
            <v>0</v>
          </cell>
          <cell r="H38">
            <v>129111161</v>
          </cell>
        </row>
        <row r="39">
          <cell r="A39">
            <v>37</v>
          </cell>
          <cell r="B39" t="str">
            <v xml:space="preserve">Ouachita             </v>
          </cell>
          <cell r="C39">
            <v>31511335</v>
          </cell>
          <cell r="D39">
            <v>0</v>
          </cell>
          <cell r="E39">
            <v>31511335</v>
          </cell>
          <cell r="F39">
            <v>47447638</v>
          </cell>
          <cell r="G39">
            <v>0</v>
          </cell>
          <cell r="H39">
            <v>47447638</v>
          </cell>
        </row>
        <row r="40">
          <cell r="A40">
            <v>38</v>
          </cell>
          <cell r="B40" t="str">
            <v xml:space="preserve">Plaquemines     </v>
          </cell>
          <cell r="C40">
            <v>25805641</v>
          </cell>
          <cell r="D40">
            <v>0</v>
          </cell>
          <cell r="E40">
            <v>25805641</v>
          </cell>
          <cell r="F40">
            <v>16975011</v>
          </cell>
          <cell r="G40">
            <v>0</v>
          </cell>
          <cell r="H40">
            <v>16975011</v>
          </cell>
        </row>
        <row r="41">
          <cell r="A41">
            <v>39</v>
          </cell>
          <cell r="B41" t="str">
            <v xml:space="preserve">Pointe Coupee  </v>
          </cell>
          <cell r="C41">
            <v>7790130</v>
          </cell>
          <cell r="D41">
            <v>0</v>
          </cell>
          <cell r="E41">
            <v>7790130</v>
          </cell>
          <cell r="F41">
            <v>7349527</v>
          </cell>
          <cell r="G41">
            <v>0</v>
          </cell>
          <cell r="H41">
            <v>7349527</v>
          </cell>
        </row>
        <row r="42">
          <cell r="A42">
            <v>40</v>
          </cell>
          <cell r="B42" t="str">
            <v xml:space="preserve">Rapides              </v>
          </cell>
          <cell r="C42">
            <v>37328132</v>
          </cell>
          <cell r="D42">
            <v>0</v>
          </cell>
          <cell r="E42">
            <v>37328132</v>
          </cell>
          <cell r="F42">
            <v>54489916</v>
          </cell>
          <cell r="G42">
            <v>0</v>
          </cell>
          <cell r="H42">
            <v>54489916</v>
          </cell>
        </row>
        <row r="43">
          <cell r="A43">
            <v>41</v>
          </cell>
          <cell r="B43" t="str">
            <v>Red River</v>
          </cell>
          <cell r="C43">
            <v>12053990</v>
          </cell>
          <cell r="D43">
            <v>0</v>
          </cell>
          <cell r="E43">
            <v>12053990</v>
          </cell>
          <cell r="F43">
            <v>4581902</v>
          </cell>
          <cell r="G43">
            <v>0</v>
          </cell>
          <cell r="H43">
            <v>4581902</v>
          </cell>
        </row>
        <row r="44">
          <cell r="A44">
            <v>42</v>
          </cell>
          <cell r="B44" t="str">
            <v xml:space="preserve">Richland            </v>
          </cell>
          <cell r="C44">
            <v>6786857</v>
          </cell>
          <cell r="D44">
            <v>0</v>
          </cell>
          <cell r="E44">
            <v>6786857</v>
          </cell>
          <cell r="F44">
            <v>6359745</v>
          </cell>
          <cell r="G44">
            <v>0</v>
          </cell>
          <cell r="H44">
            <v>6359745</v>
          </cell>
        </row>
        <row r="45">
          <cell r="A45">
            <v>43</v>
          </cell>
          <cell r="B45" t="str">
            <v xml:space="preserve">Sabine               </v>
          </cell>
          <cell r="C45">
            <v>6443335</v>
          </cell>
          <cell r="D45">
            <v>0</v>
          </cell>
          <cell r="E45">
            <v>6443335</v>
          </cell>
          <cell r="F45">
            <v>13526587</v>
          </cell>
          <cell r="G45">
            <v>0</v>
          </cell>
          <cell r="H45">
            <v>13526587</v>
          </cell>
        </row>
        <row r="46">
          <cell r="A46">
            <v>44</v>
          </cell>
          <cell r="B46" t="str">
            <v xml:space="preserve">St. Bernard       </v>
          </cell>
          <cell r="C46">
            <v>16984299</v>
          </cell>
          <cell r="D46">
            <v>0</v>
          </cell>
          <cell r="E46">
            <v>16984299</v>
          </cell>
          <cell r="F46">
            <v>15942894</v>
          </cell>
          <cell r="G46">
            <v>0</v>
          </cell>
          <cell r="H46">
            <v>15942894</v>
          </cell>
        </row>
        <row r="47">
          <cell r="A47">
            <v>45</v>
          </cell>
          <cell r="B47" t="str">
            <v xml:space="preserve">St. Charles        </v>
          </cell>
          <cell r="C47">
            <v>85469601</v>
          </cell>
          <cell r="D47">
            <v>0</v>
          </cell>
          <cell r="E47">
            <v>85469601</v>
          </cell>
          <cell r="F47">
            <v>55004198</v>
          </cell>
          <cell r="G47">
            <v>0</v>
          </cell>
          <cell r="H47">
            <v>55004198</v>
          </cell>
        </row>
        <row r="48">
          <cell r="A48">
            <v>46</v>
          </cell>
          <cell r="B48" t="str">
            <v xml:space="preserve">St. Helena          </v>
          </cell>
          <cell r="C48">
            <v>2060658</v>
          </cell>
          <cell r="D48">
            <v>0</v>
          </cell>
          <cell r="E48">
            <v>2060658</v>
          </cell>
          <cell r="F48">
            <v>1618375</v>
          </cell>
          <cell r="G48">
            <v>0</v>
          </cell>
          <cell r="H48">
            <v>1618375</v>
          </cell>
        </row>
        <row r="49">
          <cell r="A49">
            <v>47</v>
          </cell>
          <cell r="B49" t="str">
            <v xml:space="preserve">St. James          </v>
          </cell>
          <cell r="C49">
            <v>29873411</v>
          </cell>
          <cell r="D49">
            <v>0</v>
          </cell>
          <cell r="E49">
            <v>29873411</v>
          </cell>
          <cell r="F49">
            <v>24051610</v>
          </cell>
          <cell r="G49">
            <v>0</v>
          </cell>
          <cell r="H49">
            <v>24051610</v>
          </cell>
        </row>
        <row r="50">
          <cell r="A50">
            <v>48</v>
          </cell>
          <cell r="B50" t="str">
            <v xml:space="preserve">St. John             </v>
          </cell>
          <cell r="C50">
            <v>18178725</v>
          </cell>
          <cell r="D50">
            <v>0</v>
          </cell>
          <cell r="E50">
            <v>18178725</v>
          </cell>
          <cell r="F50">
            <v>30140604</v>
          </cell>
          <cell r="G50">
            <v>0</v>
          </cell>
          <cell r="H50">
            <v>30140604</v>
          </cell>
        </row>
        <row r="51">
          <cell r="A51">
            <v>49</v>
          </cell>
          <cell r="B51" t="str">
            <v xml:space="preserve">St. Landry          </v>
          </cell>
          <cell r="C51">
            <v>13366726</v>
          </cell>
          <cell r="D51">
            <v>0</v>
          </cell>
          <cell r="E51">
            <v>13366726</v>
          </cell>
          <cell r="F51">
            <v>24331172</v>
          </cell>
          <cell r="G51">
            <v>325468</v>
          </cell>
          <cell r="H51">
            <v>24656640</v>
          </cell>
        </row>
        <row r="52">
          <cell r="A52">
            <v>50</v>
          </cell>
          <cell r="B52" t="str">
            <v xml:space="preserve">St. Martin           </v>
          </cell>
          <cell r="C52">
            <v>13111820</v>
          </cell>
          <cell r="D52">
            <v>0</v>
          </cell>
          <cell r="E52">
            <v>13111820</v>
          </cell>
          <cell r="F52">
            <v>15187953</v>
          </cell>
          <cell r="G52">
            <v>0</v>
          </cell>
          <cell r="H52">
            <v>15187953</v>
          </cell>
        </row>
        <row r="53">
          <cell r="A53">
            <v>51</v>
          </cell>
          <cell r="B53" t="str">
            <v xml:space="preserve">St. Mary              </v>
          </cell>
          <cell r="C53">
            <v>21924283</v>
          </cell>
          <cell r="D53">
            <v>0</v>
          </cell>
          <cell r="E53">
            <v>21924283</v>
          </cell>
          <cell r="F53">
            <v>16039076</v>
          </cell>
          <cell r="G53">
            <v>0</v>
          </cell>
          <cell r="H53">
            <v>16039076</v>
          </cell>
        </row>
        <row r="54">
          <cell r="A54">
            <v>52</v>
          </cell>
          <cell r="B54" t="str">
            <v xml:space="preserve">St. Tammany     </v>
          </cell>
          <cell r="C54">
            <v>136424463</v>
          </cell>
          <cell r="D54">
            <v>0</v>
          </cell>
          <cell r="E54">
            <v>136424463</v>
          </cell>
          <cell r="F54">
            <v>105638734</v>
          </cell>
          <cell r="G54">
            <v>0</v>
          </cell>
          <cell r="H54">
            <v>105638734</v>
          </cell>
        </row>
        <row r="55">
          <cell r="A55">
            <v>53</v>
          </cell>
          <cell r="B55" t="str">
            <v xml:space="preserve">Tangipahoa        </v>
          </cell>
          <cell r="C55">
            <v>7474026</v>
          </cell>
          <cell r="D55">
            <v>0</v>
          </cell>
          <cell r="E55">
            <v>7474026</v>
          </cell>
          <cell r="F55">
            <v>47372783</v>
          </cell>
          <cell r="G55">
            <v>0</v>
          </cell>
          <cell r="H55">
            <v>47372783</v>
          </cell>
        </row>
        <row r="56">
          <cell r="A56">
            <v>54</v>
          </cell>
          <cell r="B56" t="str">
            <v xml:space="preserve">Tensas               </v>
          </cell>
          <cell r="C56">
            <v>2097932</v>
          </cell>
          <cell r="D56">
            <v>0</v>
          </cell>
          <cell r="E56">
            <v>2097932</v>
          </cell>
          <cell r="F56">
            <v>664977</v>
          </cell>
          <cell r="G56">
            <v>75237</v>
          </cell>
          <cell r="H56">
            <v>740214</v>
          </cell>
        </row>
        <row r="57">
          <cell r="A57">
            <v>55</v>
          </cell>
          <cell r="B57" t="str">
            <v xml:space="preserve">Terrebonne       </v>
          </cell>
          <cell r="C57">
            <v>9190226</v>
          </cell>
          <cell r="D57">
            <v>0</v>
          </cell>
          <cell r="E57">
            <v>9190226</v>
          </cell>
          <cell r="F57">
            <v>58128417</v>
          </cell>
          <cell r="G57">
            <v>0</v>
          </cell>
          <cell r="H57">
            <v>58128417</v>
          </cell>
        </row>
        <row r="58">
          <cell r="A58">
            <v>56</v>
          </cell>
          <cell r="B58" t="str">
            <v xml:space="preserve">Union                  </v>
          </cell>
          <cell r="C58">
            <v>5524413</v>
          </cell>
          <cell r="D58">
            <v>0</v>
          </cell>
          <cell r="E58">
            <v>5524413</v>
          </cell>
          <cell r="F58">
            <v>7511408</v>
          </cell>
          <cell r="G58">
            <v>0</v>
          </cell>
          <cell r="H58">
            <v>7511408</v>
          </cell>
        </row>
        <row r="59">
          <cell r="A59">
            <v>57</v>
          </cell>
          <cell r="B59" t="str">
            <v xml:space="preserve">Vermilion           </v>
          </cell>
          <cell r="C59">
            <v>11797632</v>
          </cell>
          <cell r="D59">
            <v>0</v>
          </cell>
          <cell r="E59">
            <v>11797632</v>
          </cell>
          <cell r="F59">
            <v>11585382</v>
          </cell>
          <cell r="G59">
            <v>0</v>
          </cell>
          <cell r="H59">
            <v>11585382</v>
          </cell>
        </row>
        <row r="60">
          <cell r="A60">
            <v>58</v>
          </cell>
          <cell r="B60" t="str">
            <v xml:space="preserve">Vernon               </v>
          </cell>
          <cell r="C60">
            <v>7942051</v>
          </cell>
          <cell r="D60">
            <v>0</v>
          </cell>
          <cell r="E60">
            <v>7942051</v>
          </cell>
          <cell r="F60">
            <v>13349785</v>
          </cell>
          <cell r="G60">
            <v>0</v>
          </cell>
          <cell r="H60">
            <v>13349785</v>
          </cell>
        </row>
        <row r="61">
          <cell r="A61">
            <v>59</v>
          </cell>
          <cell r="B61" t="str">
            <v xml:space="preserve">Washington       </v>
          </cell>
          <cell r="C61">
            <v>3061369</v>
          </cell>
          <cell r="D61">
            <v>0</v>
          </cell>
          <cell r="E61">
            <v>3061369</v>
          </cell>
          <cell r="F61">
            <v>5096316</v>
          </cell>
          <cell r="G61">
            <v>0</v>
          </cell>
          <cell r="H61">
            <v>5096316</v>
          </cell>
        </row>
        <row r="62">
          <cell r="A62">
            <v>60</v>
          </cell>
          <cell r="B62" t="str">
            <v xml:space="preserve">Webster             </v>
          </cell>
          <cell r="C62">
            <v>12452185</v>
          </cell>
          <cell r="D62">
            <v>0</v>
          </cell>
          <cell r="E62">
            <v>12452185</v>
          </cell>
          <cell r="F62">
            <v>14728534</v>
          </cell>
          <cell r="G62">
            <v>0</v>
          </cell>
          <cell r="H62">
            <v>14728534</v>
          </cell>
        </row>
        <row r="63">
          <cell r="A63">
            <v>61</v>
          </cell>
          <cell r="B63" t="str">
            <v>West Baton Rouge</v>
          </cell>
          <cell r="C63">
            <v>27159248</v>
          </cell>
          <cell r="D63">
            <v>0</v>
          </cell>
          <cell r="E63">
            <v>27159248</v>
          </cell>
          <cell r="F63">
            <v>15844103</v>
          </cell>
          <cell r="G63">
            <v>0</v>
          </cell>
          <cell r="H63">
            <v>15844103</v>
          </cell>
        </row>
        <row r="64">
          <cell r="A64">
            <v>62</v>
          </cell>
          <cell r="B64" t="str">
            <v xml:space="preserve">West Carroll      </v>
          </cell>
          <cell r="C64">
            <v>1867793</v>
          </cell>
          <cell r="D64">
            <v>0</v>
          </cell>
          <cell r="E64">
            <v>1867793</v>
          </cell>
          <cell r="F64">
            <v>2897892</v>
          </cell>
          <cell r="G64">
            <v>0</v>
          </cell>
          <cell r="H64">
            <v>2897892</v>
          </cell>
        </row>
        <row r="65">
          <cell r="A65">
            <v>63</v>
          </cell>
          <cell r="B65" t="str">
            <v xml:space="preserve">West Feliciana   </v>
          </cell>
          <cell r="C65">
            <v>14726152</v>
          </cell>
          <cell r="D65">
            <v>0</v>
          </cell>
          <cell r="E65">
            <v>14726152</v>
          </cell>
          <cell r="F65">
            <v>7572800</v>
          </cell>
          <cell r="G65">
            <v>0</v>
          </cell>
          <cell r="H65">
            <v>7572800</v>
          </cell>
        </row>
        <row r="66">
          <cell r="A66">
            <v>64</v>
          </cell>
          <cell r="B66" t="str">
            <v xml:space="preserve">Winn                    </v>
          </cell>
          <cell r="C66">
            <v>2153189</v>
          </cell>
          <cell r="D66">
            <v>0</v>
          </cell>
          <cell r="E66">
            <v>2153189</v>
          </cell>
          <cell r="F66">
            <v>4292312</v>
          </cell>
          <cell r="G66">
            <v>0</v>
          </cell>
          <cell r="H66">
            <v>4292312</v>
          </cell>
        </row>
        <row r="67">
          <cell r="A67">
            <v>65</v>
          </cell>
          <cell r="B67" t="str">
            <v xml:space="preserve">City of Monroe    </v>
          </cell>
          <cell r="C67">
            <v>14270085</v>
          </cell>
          <cell r="D67">
            <v>0</v>
          </cell>
          <cell r="E67">
            <v>14270085</v>
          </cell>
          <cell r="F67">
            <v>27898691</v>
          </cell>
          <cell r="G67">
            <v>0</v>
          </cell>
          <cell r="H67">
            <v>27898691</v>
          </cell>
        </row>
        <row r="68">
          <cell r="A68">
            <v>66</v>
          </cell>
          <cell r="B68" t="str">
            <v xml:space="preserve">City of Bogalusa   </v>
          </cell>
          <cell r="C68">
            <v>5659658</v>
          </cell>
          <cell r="D68">
            <v>0</v>
          </cell>
          <cell r="E68">
            <v>5659658</v>
          </cell>
          <cell r="F68">
            <v>3002148</v>
          </cell>
          <cell r="G68">
            <v>0</v>
          </cell>
          <cell r="H68">
            <v>3002148</v>
          </cell>
        </row>
        <row r="69">
          <cell r="A69">
            <v>67</v>
          </cell>
          <cell r="B69" t="str">
            <v>Zachary Community</v>
          </cell>
          <cell r="C69">
            <v>22228473</v>
          </cell>
          <cell r="D69">
            <v>0</v>
          </cell>
          <cell r="E69">
            <v>22228473</v>
          </cell>
          <cell r="F69">
            <v>10164103</v>
          </cell>
          <cell r="G69">
            <v>0</v>
          </cell>
          <cell r="H69">
            <v>10164103</v>
          </cell>
        </row>
        <row r="70">
          <cell r="A70">
            <v>68</v>
          </cell>
          <cell r="B70" t="str">
            <v xml:space="preserve">City of Baker </v>
          </cell>
          <cell r="C70">
            <v>2123416</v>
          </cell>
          <cell r="D70">
            <v>0</v>
          </cell>
          <cell r="E70">
            <v>2123416</v>
          </cell>
          <cell r="F70">
            <v>3694059</v>
          </cell>
          <cell r="G70">
            <v>0</v>
          </cell>
          <cell r="H70">
            <v>3694059</v>
          </cell>
        </row>
        <row r="71">
          <cell r="A71">
            <v>69</v>
          </cell>
          <cell r="B71" t="str">
            <v>Central Community</v>
          </cell>
          <cell r="C71">
            <v>9621847</v>
          </cell>
          <cell r="D71">
            <v>0</v>
          </cell>
          <cell r="E71">
            <v>9621847</v>
          </cell>
          <cell r="F71">
            <v>9509114</v>
          </cell>
          <cell r="G71">
            <v>0</v>
          </cell>
          <cell r="H71">
            <v>9509114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&amp; Final Compare"/>
      <sheetName val="21-22 Initial_Type1,1B,2,3,3B,4"/>
      <sheetName val="FY21-22 Initial Type 5"/>
      <sheetName val="Detail Calculation exclude debt"/>
      <sheetName val="Detail Calculation for debt"/>
      <sheetName val="Detail"/>
      <sheetName val="2.1.21 SIS"/>
    </sheetNames>
    <sheetDataSet>
      <sheetData sheetId="0"/>
      <sheetData sheetId="1">
        <row r="7">
          <cell r="C7">
            <v>3069.1867288043941</v>
          </cell>
          <cell r="D7">
            <v>675.22108033696668</v>
          </cell>
          <cell r="E7">
            <v>184.15120372826368</v>
          </cell>
          <cell r="F7">
            <v>4603.780093206592</v>
          </cell>
          <cell r="G7">
            <v>1841.5120372826366</v>
          </cell>
          <cell r="H7">
            <v>816</v>
          </cell>
          <cell r="J7">
            <v>171.35731956545123</v>
          </cell>
          <cell r="K7">
            <v>2986</v>
          </cell>
          <cell r="N7">
            <v>2986</v>
          </cell>
        </row>
        <row r="8">
          <cell r="C8">
            <v>3385.4983208956351</v>
          </cell>
          <cell r="D8">
            <v>744.8096305970397</v>
          </cell>
          <cell r="E8">
            <v>203.1298992537381</v>
          </cell>
          <cell r="F8">
            <v>5078.2474813434528</v>
          </cell>
          <cell r="G8">
            <v>2031.2989925373811</v>
          </cell>
          <cell r="H8">
            <v>1472</v>
          </cell>
          <cell r="J8">
            <v>171.35736354273945</v>
          </cell>
          <cell r="K8">
            <v>2986</v>
          </cell>
          <cell r="N8">
            <v>3534</v>
          </cell>
        </row>
        <row r="9">
          <cell r="C9">
            <v>2553.8008392271504</v>
          </cell>
          <cell r="D9">
            <v>561.83618462997322</v>
          </cell>
          <cell r="E9">
            <v>153.22805035362904</v>
          </cell>
          <cell r="F9">
            <v>3830.7012588407251</v>
          </cell>
          <cell r="G9">
            <v>1532.2805035362899</v>
          </cell>
          <cell r="H9">
            <v>672</v>
          </cell>
          <cell r="J9">
            <v>171.35728568944532</v>
          </cell>
          <cell r="K9">
            <v>6157</v>
          </cell>
          <cell r="N9">
            <v>7135</v>
          </cell>
        </row>
        <row r="10">
          <cell r="C10">
            <v>3036.8182077181432</v>
          </cell>
          <cell r="D10">
            <v>668.10000569799149</v>
          </cell>
          <cell r="E10">
            <v>182.20909246308861</v>
          </cell>
          <cell r="F10">
            <v>4555.227311577215</v>
          </cell>
          <cell r="G10">
            <v>1822.0909246308859</v>
          </cell>
          <cell r="H10">
            <v>1229</v>
          </cell>
          <cell r="J10">
            <v>171.35731171901384</v>
          </cell>
          <cell r="K10">
            <v>4557</v>
          </cell>
          <cell r="N10">
            <v>4557</v>
          </cell>
        </row>
        <row r="11">
          <cell r="C11">
            <v>3243.5700484391991</v>
          </cell>
          <cell r="D11">
            <v>713.58541065662382</v>
          </cell>
          <cell r="E11">
            <v>194.61420290635192</v>
          </cell>
          <cell r="F11">
            <v>4865.3550726587982</v>
          </cell>
          <cell r="G11">
            <v>1946.142029063519</v>
          </cell>
          <cell r="H11">
            <v>819</v>
          </cell>
          <cell r="J11">
            <v>171.35726593911545</v>
          </cell>
          <cell r="K11">
            <v>2444</v>
          </cell>
          <cell r="N11">
            <v>2444</v>
          </cell>
        </row>
        <row r="12">
          <cell r="C12">
            <v>2972.2083292259417</v>
          </cell>
          <cell r="D12">
            <v>653.88583242970719</v>
          </cell>
          <cell r="E12">
            <v>178.3324997535565</v>
          </cell>
          <cell r="F12">
            <v>4458.3124938389128</v>
          </cell>
          <cell r="G12">
            <v>1783.3249975355652</v>
          </cell>
          <cell r="H12">
            <v>1112</v>
          </cell>
          <cell r="J12">
            <v>171.35719360568385</v>
          </cell>
          <cell r="K12">
            <v>3978</v>
          </cell>
          <cell r="N12">
            <v>4838</v>
          </cell>
        </row>
        <row r="13">
          <cell r="C13">
            <v>1884.2531947629002</v>
          </cell>
          <cell r="D13">
            <v>414.53570284783814</v>
          </cell>
          <cell r="E13">
            <v>113.05519168577402</v>
          </cell>
          <cell r="F13">
            <v>2826.3797921443506</v>
          </cell>
          <cell r="G13">
            <v>1130.5519168577403</v>
          </cell>
          <cell r="H13">
            <v>187</v>
          </cell>
          <cell r="J13">
            <v>171.35721544715446</v>
          </cell>
          <cell r="K13">
            <v>12717</v>
          </cell>
          <cell r="N13">
            <v>13871</v>
          </cell>
        </row>
        <row r="14">
          <cell r="C14">
            <v>2877.8782373072495</v>
          </cell>
          <cell r="D14">
            <v>633.13321220759485</v>
          </cell>
          <cell r="E14">
            <v>172.67269423843499</v>
          </cell>
          <cell r="F14">
            <v>4316.817355960874</v>
          </cell>
          <cell r="G14">
            <v>1726.7269423843495</v>
          </cell>
          <cell r="H14">
            <v>973</v>
          </cell>
          <cell r="J14">
            <v>171.35725294650953</v>
          </cell>
          <cell r="K14">
            <v>4597</v>
          </cell>
          <cell r="N14">
            <v>5190</v>
          </cell>
        </row>
        <row r="15">
          <cell r="C15">
            <v>2713.9020582816461</v>
          </cell>
          <cell r="D15">
            <v>597.05845282196208</v>
          </cell>
          <cell r="E15">
            <v>162.83412349689877</v>
          </cell>
          <cell r="F15">
            <v>4070.8530874224698</v>
          </cell>
          <cell r="G15">
            <v>1628.3412349689875</v>
          </cell>
          <cell r="H15">
            <v>839</v>
          </cell>
          <cell r="J15">
            <v>171.35726187549508</v>
          </cell>
          <cell r="K15">
            <v>5184</v>
          </cell>
          <cell r="N15">
            <v>6027</v>
          </cell>
        </row>
        <row r="16">
          <cell r="C16">
            <v>2129.1816722800286</v>
          </cell>
          <cell r="D16">
            <v>468.4199679016063</v>
          </cell>
          <cell r="E16">
            <v>127.75090033680171</v>
          </cell>
          <cell r="F16">
            <v>3193.7725084200424</v>
          </cell>
          <cell r="G16">
            <v>1277.5090033680171</v>
          </cell>
          <cell r="H16">
            <v>382</v>
          </cell>
          <cell r="J16">
            <v>171.35726941115163</v>
          </cell>
          <cell r="K16">
            <v>7076</v>
          </cell>
          <cell r="N16">
            <v>7932</v>
          </cell>
        </row>
        <row r="17">
          <cell r="C17">
            <v>3293.3802516933861</v>
          </cell>
          <cell r="D17">
            <v>724.543655372545</v>
          </cell>
          <cell r="E17">
            <v>197.6028151016032</v>
          </cell>
          <cell r="F17">
            <v>4940.0703775400798</v>
          </cell>
          <cell r="G17">
            <v>1976.0281510160319</v>
          </cell>
          <cell r="H17">
            <v>1559</v>
          </cell>
          <cell r="J17">
            <v>171.35695187165774</v>
          </cell>
          <cell r="K17">
            <v>3147</v>
          </cell>
          <cell r="N17">
            <v>3718</v>
          </cell>
        </row>
        <row r="18">
          <cell r="C18">
            <v>1003.7499222871905</v>
          </cell>
          <cell r="D18">
            <v>220.8249829031819</v>
          </cell>
          <cell r="E18">
            <v>60.224995337231412</v>
          </cell>
          <cell r="F18">
            <v>1505.6248834307858</v>
          </cell>
          <cell r="G18">
            <v>602.24995337231428</v>
          </cell>
          <cell r="H18">
            <v>0</v>
          </cell>
          <cell r="J18">
            <v>171.35720601237841</v>
          </cell>
          <cell r="K18">
            <v>12953</v>
          </cell>
          <cell r="N18">
            <v>14102</v>
          </cell>
        </row>
        <row r="19">
          <cell r="C19">
            <v>3310.8691415549461</v>
          </cell>
          <cell r="D19">
            <v>728.3912111420882</v>
          </cell>
          <cell r="E19">
            <v>198.65214849329678</v>
          </cell>
          <cell r="F19">
            <v>4966.3037123324193</v>
          </cell>
          <cell r="G19">
            <v>1986.5214849329675</v>
          </cell>
          <cell r="H19">
            <v>1421</v>
          </cell>
          <cell r="J19">
            <v>171.35768903993204</v>
          </cell>
          <cell r="K19">
            <v>3267</v>
          </cell>
          <cell r="N19">
            <v>3309</v>
          </cell>
        </row>
        <row r="20">
          <cell r="C20">
            <v>3048.4462557066659</v>
          </cell>
          <cell r="D20">
            <v>670.65817625546651</v>
          </cell>
          <cell r="E20">
            <v>182.90677534239995</v>
          </cell>
          <cell r="F20">
            <v>4572.669383559999</v>
          </cell>
          <cell r="G20">
            <v>1829.0677534239996</v>
          </cell>
          <cell r="H20">
            <v>1404</v>
          </cell>
          <cell r="J20">
            <v>171.3572261072261</v>
          </cell>
          <cell r="K20">
            <v>3601</v>
          </cell>
          <cell r="N20">
            <v>3857</v>
          </cell>
        </row>
        <row r="21">
          <cell r="C21">
            <v>3246.3428967457867</v>
          </cell>
          <cell r="D21">
            <v>714.19543728407302</v>
          </cell>
          <cell r="E21">
            <v>194.78057380474718</v>
          </cell>
          <cell r="F21">
            <v>4869.5143451186805</v>
          </cell>
          <cell r="G21">
            <v>1947.8057380474718</v>
          </cell>
          <cell r="H21">
            <v>1389</v>
          </cell>
          <cell r="J21">
            <v>100</v>
          </cell>
          <cell r="K21">
            <v>3200</v>
          </cell>
          <cell r="N21">
            <v>3200</v>
          </cell>
        </row>
        <row r="22">
          <cell r="C22">
            <v>1292.3630906966273</v>
          </cell>
          <cell r="D22">
            <v>284.31987995325807</v>
          </cell>
          <cell r="E22">
            <v>77.541785441797629</v>
          </cell>
          <cell r="F22">
            <v>1938.5446360449409</v>
          </cell>
          <cell r="G22">
            <v>775.4178544179764</v>
          </cell>
          <cell r="H22">
            <v>0</v>
          </cell>
          <cell r="J22">
            <v>171.35721925133689</v>
          </cell>
          <cell r="K22">
            <v>12998</v>
          </cell>
          <cell r="N22">
            <v>14538</v>
          </cell>
        </row>
        <row r="23">
          <cell r="C23">
            <v>2063.2140959933918</v>
          </cell>
          <cell r="D23">
            <v>453.90710111854622</v>
          </cell>
          <cell r="E23">
            <v>123.79284575960352</v>
          </cell>
          <cell r="F23">
            <v>3094.8211439900879</v>
          </cell>
          <cell r="G23">
            <v>1237.9284575960353</v>
          </cell>
          <cell r="H23">
            <v>312</v>
          </cell>
          <cell r="J23">
            <v>400.77053573405976</v>
          </cell>
          <cell r="K23">
            <v>6927</v>
          </cell>
          <cell r="N23">
            <v>7879</v>
          </cell>
        </row>
        <row r="24">
          <cell r="C24">
            <v>3063.8490900884699</v>
          </cell>
          <cell r="D24">
            <v>674.04679981946333</v>
          </cell>
          <cell r="E24">
            <v>183.83094540530817</v>
          </cell>
          <cell r="F24">
            <v>4595.7736351327048</v>
          </cell>
          <cell r="G24">
            <v>0</v>
          </cell>
          <cell r="H24">
            <v>1097</v>
          </cell>
          <cell r="J24">
            <v>171.3574097135741</v>
          </cell>
          <cell r="K24">
            <v>3455</v>
          </cell>
          <cell r="N24">
            <v>3455</v>
          </cell>
        </row>
        <row r="25">
          <cell r="C25">
            <v>2476.415094339623</v>
          </cell>
          <cell r="D25">
            <v>544.81132075471703</v>
          </cell>
          <cell r="E25">
            <v>148.58490566037736</v>
          </cell>
          <cell r="F25">
            <v>3714.6226415094338</v>
          </cell>
          <cell r="G25">
            <v>1485.8490566037735</v>
          </cell>
          <cell r="H25">
            <v>709</v>
          </cell>
          <cell r="J25">
            <v>171.35701598579041</v>
          </cell>
          <cell r="K25">
            <v>4436</v>
          </cell>
          <cell r="N25">
            <v>4436</v>
          </cell>
        </row>
        <row r="26">
          <cell r="C26">
            <v>3244.1496809587693</v>
          </cell>
          <cell r="D26">
            <v>713.71292981092927</v>
          </cell>
          <cell r="E26">
            <v>194.64898085752614</v>
          </cell>
          <cell r="F26">
            <v>4866.2245214381528</v>
          </cell>
          <cell r="G26">
            <v>1946.4898085752611</v>
          </cell>
          <cell r="H26">
            <v>1103</v>
          </cell>
          <cell r="J26">
            <v>100</v>
          </cell>
          <cell r="K26">
            <v>2820</v>
          </cell>
          <cell r="N26">
            <v>2929</v>
          </cell>
        </row>
        <row r="27">
          <cell r="C27">
            <v>3230.7869087104505</v>
          </cell>
          <cell r="D27">
            <v>710.77311991629904</v>
          </cell>
          <cell r="E27">
            <v>193.84721452262701</v>
          </cell>
          <cell r="F27">
            <v>4846.1803630656759</v>
          </cell>
          <cell r="G27">
            <v>1938.4721452262704</v>
          </cell>
          <cell r="H27">
            <v>1106</v>
          </cell>
          <cell r="J27">
            <v>171.35716852317643</v>
          </cell>
          <cell r="K27">
            <v>2145</v>
          </cell>
          <cell r="N27">
            <v>3130</v>
          </cell>
        </row>
        <row r="28">
          <cell r="C28">
            <v>3548.8093318662363</v>
          </cell>
          <cell r="D28">
            <v>780.73805301057189</v>
          </cell>
          <cell r="E28">
            <v>212.92855991197416</v>
          </cell>
          <cell r="F28">
            <v>5323.2139977993538</v>
          </cell>
          <cell r="G28">
            <v>2129.2855991197416</v>
          </cell>
          <cell r="H28">
            <v>1221</v>
          </cell>
          <cell r="J28">
            <v>171.35726918995402</v>
          </cell>
          <cell r="K28">
            <v>1179</v>
          </cell>
          <cell r="N28">
            <v>1902</v>
          </cell>
        </row>
        <row r="29">
          <cell r="C29">
            <v>2921.5804745814476</v>
          </cell>
          <cell r="D29">
            <v>642.74770440791849</v>
          </cell>
          <cell r="E29">
            <v>175.29482847488683</v>
          </cell>
          <cell r="F29">
            <v>4382.3707118721713</v>
          </cell>
          <cell r="G29">
            <v>1752.9482847488687</v>
          </cell>
          <cell r="H29">
            <v>1040</v>
          </cell>
          <cell r="J29">
            <v>171.35724055394084</v>
          </cell>
          <cell r="K29">
            <v>2839</v>
          </cell>
          <cell r="N29">
            <v>4116</v>
          </cell>
        </row>
        <row r="30">
          <cell r="C30">
            <v>1003.7499843118682</v>
          </cell>
          <cell r="D30">
            <v>220.82499654861098</v>
          </cell>
          <cell r="E30">
            <v>60.224999058712086</v>
          </cell>
          <cell r="F30">
            <v>1505.6249764678021</v>
          </cell>
          <cell r="G30">
            <v>602.24999058712092</v>
          </cell>
          <cell r="H30">
            <v>0</v>
          </cell>
          <cell r="J30">
            <v>495.68005738880919</v>
          </cell>
          <cell r="K30">
            <v>13569</v>
          </cell>
          <cell r="N30">
            <v>14326</v>
          </cell>
        </row>
        <row r="31">
          <cell r="C31">
            <v>2714.8532198079006</v>
          </cell>
          <cell r="D31">
            <v>597.26770835773823</v>
          </cell>
          <cell r="E31">
            <v>162.89119318847403</v>
          </cell>
          <cell r="F31">
            <v>4072.2798297118511</v>
          </cell>
          <cell r="G31">
            <v>1628.9119318847402</v>
          </cell>
          <cell r="H31">
            <v>924</v>
          </cell>
          <cell r="J31">
            <v>171.35704258306038</v>
          </cell>
          <cell r="K31">
            <v>4484</v>
          </cell>
          <cell r="N31">
            <v>4484</v>
          </cell>
        </row>
        <row r="32">
          <cell r="C32">
            <v>2228.6717183345772</v>
          </cell>
          <cell r="D32">
            <v>490.30777803360706</v>
          </cell>
          <cell r="E32">
            <v>133.72030310007463</v>
          </cell>
          <cell r="F32">
            <v>3343.0075775018659</v>
          </cell>
          <cell r="G32">
            <v>1337.2030310007463</v>
          </cell>
          <cell r="H32">
            <v>461</v>
          </cell>
          <cell r="J32">
            <v>398.92345198442956</v>
          </cell>
          <cell r="K32">
            <v>5888</v>
          </cell>
          <cell r="N32">
            <v>6410</v>
          </cell>
        </row>
        <row r="33">
          <cell r="C33">
            <v>3139.3189369765087</v>
          </cell>
          <cell r="D33">
            <v>690.65016613483181</v>
          </cell>
          <cell r="E33">
            <v>188.35913621859052</v>
          </cell>
          <cell r="F33">
            <v>4708.9784054647635</v>
          </cell>
          <cell r="G33">
            <v>1883.5913621859049</v>
          </cell>
          <cell r="H33">
            <v>1267</v>
          </cell>
          <cell r="J33">
            <v>171.35726210350583</v>
          </cell>
          <cell r="K33">
            <v>3796</v>
          </cell>
          <cell r="N33">
            <v>4477</v>
          </cell>
        </row>
        <row r="34">
          <cell r="C34">
            <v>2318.8107725669697</v>
          </cell>
          <cell r="D34">
            <v>510.13836996473333</v>
          </cell>
          <cell r="E34">
            <v>139.1286463540182</v>
          </cell>
          <cell r="F34">
            <v>3478.2161588504541</v>
          </cell>
          <cell r="G34">
            <v>1391.2864635401818</v>
          </cell>
          <cell r="H34">
            <v>500</v>
          </cell>
          <cell r="J34">
            <v>230.84228717857036</v>
          </cell>
          <cell r="K34">
            <v>5458</v>
          </cell>
          <cell r="N34">
            <v>5867</v>
          </cell>
        </row>
        <row r="35">
          <cell r="C35">
            <v>2666.2156372363002</v>
          </cell>
          <cell r="D35">
            <v>586.56744019198607</v>
          </cell>
          <cell r="E35">
            <v>159.972938234178</v>
          </cell>
          <cell r="F35">
            <v>3999.32345585445</v>
          </cell>
          <cell r="G35">
            <v>1599.7293823417804</v>
          </cell>
          <cell r="H35">
            <v>772</v>
          </cell>
          <cell r="J35">
            <v>171.3572599615083</v>
          </cell>
          <cell r="K35">
            <v>4401</v>
          </cell>
          <cell r="N35">
            <v>5154</v>
          </cell>
        </row>
        <row r="36">
          <cell r="C36">
            <v>3147.7989302037017</v>
          </cell>
          <cell r="D36">
            <v>692.51576464481434</v>
          </cell>
          <cell r="E36">
            <v>188.8679358122221</v>
          </cell>
          <cell r="F36">
            <v>4721.6983953055524</v>
          </cell>
          <cell r="G36">
            <v>1888.6793581222207</v>
          </cell>
          <cell r="H36">
            <v>1273</v>
          </cell>
          <cell r="J36">
            <v>171.35726004922068</v>
          </cell>
          <cell r="K36">
            <v>3486</v>
          </cell>
          <cell r="N36">
            <v>4682</v>
          </cell>
        </row>
        <row r="37">
          <cell r="C37">
            <v>2559.1008633607908</v>
          </cell>
          <cell r="D37">
            <v>563.00218993937403</v>
          </cell>
          <cell r="E37">
            <v>153.54605180164742</v>
          </cell>
          <cell r="F37">
            <v>3838.6512950411861</v>
          </cell>
          <cell r="G37">
            <v>1535.4605180164745</v>
          </cell>
          <cell r="H37">
            <v>773</v>
          </cell>
          <cell r="J37">
            <v>171.35730706075535</v>
          </cell>
          <cell r="K37">
            <v>6360</v>
          </cell>
          <cell r="N37">
            <v>7187</v>
          </cell>
        </row>
        <row r="38">
          <cell r="C38">
            <v>3324.2043483686257</v>
          </cell>
          <cell r="D38">
            <v>731.32495664109774</v>
          </cell>
          <cell r="E38">
            <v>199.45226090211753</v>
          </cell>
          <cell r="F38">
            <v>4986.3065225529381</v>
          </cell>
          <cell r="G38">
            <v>1994.5226090211752</v>
          </cell>
          <cell r="H38">
            <v>1326</v>
          </cell>
          <cell r="J38">
            <v>171.3572841901067</v>
          </cell>
          <cell r="K38">
            <v>2823</v>
          </cell>
          <cell r="N38">
            <v>3134</v>
          </cell>
        </row>
        <row r="39">
          <cell r="C39">
            <v>2814.4896548322326</v>
          </cell>
          <cell r="D39">
            <v>619.18772406309108</v>
          </cell>
          <cell r="E39">
            <v>168.86937928993396</v>
          </cell>
          <cell r="F39">
            <v>4221.7344822483492</v>
          </cell>
          <cell r="G39">
            <v>1688.6937928993395</v>
          </cell>
          <cell r="H39">
            <v>1101</v>
          </cell>
          <cell r="J39">
            <v>171.35719612229678</v>
          </cell>
          <cell r="K39">
            <v>2500</v>
          </cell>
          <cell r="N39">
            <v>4687</v>
          </cell>
        </row>
        <row r="40">
          <cell r="C40">
            <v>3126.6482247784766</v>
          </cell>
          <cell r="D40">
            <v>687.8626094512648</v>
          </cell>
          <cell r="E40">
            <v>187.59889348670859</v>
          </cell>
          <cell r="F40">
            <v>4689.9723371677155</v>
          </cell>
          <cell r="G40">
            <v>1875.9889348670863</v>
          </cell>
          <cell r="H40">
            <v>1351</v>
          </cell>
          <cell r="J40">
            <v>171.35727109515261</v>
          </cell>
          <cell r="K40">
            <v>3392</v>
          </cell>
          <cell r="N40">
            <v>4027</v>
          </cell>
        </row>
        <row r="41">
          <cell r="C41">
            <v>2729.8387431674314</v>
          </cell>
          <cell r="D41">
            <v>600.56452349683491</v>
          </cell>
          <cell r="E41">
            <v>163.79032459004588</v>
          </cell>
          <cell r="F41">
            <v>4094.7581147511473</v>
          </cell>
          <cell r="G41">
            <v>1637.9032459004588</v>
          </cell>
          <cell r="H41">
            <v>900</v>
          </cell>
          <cell r="J41">
            <v>171.35730129390018</v>
          </cell>
          <cell r="K41">
            <v>4597</v>
          </cell>
          <cell r="N41">
            <v>5108</v>
          </cell>
        </row>
        <row r="42">
          <cell r="C42">
            <v>2165.6648124793956</v>
          </cell>
          <cell r="D42">
            <v>476.44625874546705</v>
          </cell>
          <cell r="E42">
            <v>129.93988874876374</v>
          </cell>
          <cell r="F42">
            <v>3248.4972187190933</v>
          </cell>
          <cell r="G42">
            <v>1299.3988874876372</v>
          </cell>
          <cell r="H42">
            <v>415</v>
          </cell>
          <cell r="J42">
            <v>171.3572647702407</v>
          </cell>
          <cell r="K42">
            <v>5438</v>
          </cell>
          <cell r="N42">
            <v>6071</v>
          </cell>
        </row>
        <row r="43">
          <cell r="C43">
            <v>3136.2996307007297</v>
          </cell>
          <cell r="D43">
            <v>689.98591875416048</v>
          </cell>
          <cell r="E43">
            <v>188.17797784204376</v>
          </cell>
          <cell r="F43">
            <v>4704.449446051095</v>
          </cell>
          <cell r="G43">
            <v>1881.7797784204377</v>
          </cell>
          <cell r="H43">
            <v>1200</v>
          </cell>
          <cell r="J43">
            <v>171.35725317153887</v>
          </cell>
          <cell r="K43">
            <v>3442</v>
          </cell>
          <cell r="N43">
            <v>4521</v>
          </cell>
        </row>
        <row r="44">
          <cell r="C44">
            <v>1003.7499671349638</v>
          </cell>
          <cell r="D44">
            <v>220.82499276969199</v>
          </cell>
          <cell r="E44">
            <v>60.224998028097815</v>
          </cell>
          <cell r="F44">
            <v>1505.6249507024456</v>
          </cell>
          <cell r="G44">
            <v>602.24998028097821</v>
          </cell>
          <cell r="H44">
            <v>0</v>
          </cell>
          <cell r="J44">
            <v>430.53704676826067</v>
          </cell>
          <cell r="K44">
            <v>10325</v>
          </cell>
          <cell r="N44">
            <v>10325</v>
          </cell>
        </row>
        <row r="45">
          <cell r="C45">
            <v>1722.1904258023917</v>
          </cell>
          <cell r="D45">
            <v>378.88189367652615</v>
          </cell>
          <cell r="E45">
            <v>103.33142554814349</v>
          </cell>
          <cell r="F45">
            <v>2583.2856387035872</v>
          </cell>
          <cell r="G45">
            <v>1033.3142554814351</v>
          </cell>
          <cell r="H45">
            <v>39</v>
          </cell>
          <cell r="J45">
            <v>297.990639625585</v>
          </cell>
          <cell r="K45">
            <v>8301</v>
          </cell>
          <cell r="N45">
            <v>8301</v>
          </cell>
        </row>
        <row r="46">
          <cell r="C46">
            <v>2951.844909045697</v>
          </cell>
          <cell r="D46">
            <v>649.40587999005334</v>
          </cell>
          <cell r="E46">
            <v>177.11069454274184</v>
          </cell>
          <cell r="F46">
            <v>4427.767363568546</v>
          </cell>
          <cell r="G46">
            <v>1771.1069454274184</v>
          </cell>
          <cell r="H46">
            <v>1056</v>
          </cell>
          <cell r="J46">
            <v>171.35726663856494</v>
          </cell>
          <cell r="K46">
            <v>4505</v>
          </cell>
          <cell r="N46">
            <v>4788</v>
          </cell>
        </row>
        <row r="47">
          <cell r="C47">
            <v>1524.8424406923368</v>
          </cell>
          <cell r="D47">
            <v>335.46533695231409</v>
          </cell>
          <cell r="E47">
            <v>91.490546441540218</v>
          </cell>
          <cell r="F47">
            <v>2287.2636610385052</v>
          </cell>
          <cell r="G47">
            <v>914.90546441540209</v>
          </cell>
          <cell r="H47">
            <v>0</v>
          </cell>
          <cell r="J47">
            <v>171.35765838011227</v>
          </cell>
          <cell r="K47">
            <v>11986</v>
          </cell>
          <cell r="N47">
            <v>13757</v>
          </cell>
        </row>
        <row r="48">
          <cell r="C48">
            <v>2717.6664514746508</v>
          </cell>
          <cell r="D48">
            <v>597.88661932442312</v>
          </cell>
          <cell r="E48">
            <v>163.05998708847903</v>
          </cell>
          <cell r="F48">
            <v>4076.4996772119757</v>
          </cell>
          <cell r="G48">
            <v>1630.5998708847901</v>
          </cell>
          <cell r="H48">
            <v>949</v>
          </cell>
          <cell r="J48">
            <v>171.35732838589982</v>
          </cell>
          <cell r="K48">
            <v>4070</v>
          </cell>
          <cell r="N48">
            <v>5102</v>
          </cell>
        </row>
        <row r="49">
          <cell r="C49">
            <v>2903.625066357969</v>
          </cell>
          <cell r="D49">
            <v>638.7975145987532</v>
          </cell>
          <cell r="E49">
            <v>174.2175039814781</v>
          </cell>
          <cell r="F49">
            <v>4355.4375995369537</v>
          </cell>
          <cell r="G49">
            <v>1742.175039814781</v>
          </cell>
          <cell r="H49">
            <v>1084</v>
          </cell>
          <cell r="J49">
            <v>171.35728796343321</v>
          </cell>
          <cell r="K49">
            <v>3669</v>
          </cell>
          <cell r="N49">
            <v>4537</v>
          </cell>
        </row>
        <row r="50">
          <cell r="C50">
            <v>2965.6326020846304</v>
          </cell>
          <cell r="D50">
            <v>652.43917245861871</v>
          </cell>
          <cell r="E50">
            <v>177.93795612507782</v>
          </cell>
          <cell r="F50">
            <v>4448.4489031269459</v>
          </cell>
          <cell r="G50">
            <v>1779.3795612507781</v>
          </cell>
          <cell r="H50">
            <v>1047</v>
          </cell>
          <cell r="J50">
            <v>171.35730277887529</v>
          </cell>
          <cell r="K50">
            <v>4176</v>
          </cell>
          <cell r="N50">
            <v>4176</v>
          </cell>
        </row>
        <row r="51">
          <cell r="C51">
            <v>1265.4091225896384</v>
          </cell>
          <cell r="D51">
            <v>278.39000696972039</v>
          </cell>
          <cell r="E51">
            <v>75.924547355378309</v>
          </cell>
          <cell r="F51">
            <v>1898.1136838844573</v>
          </cell>
          <cell r="G51">
            <v>759.24547355378286</v>
          </cell>
          <cell r="H51">
            <v>0</v>
          </cell>
          <cell r="J51">
            <v>408.44817627553749</v>
          </cell>
          <cell r="K51">
            <v>13146</v>
          </cell>
          <cell r="N51">
            <v>14822</v>
          </cell>
        </row>
        <row r="52">
          <cell r="C52">
            <v>3388.0917719630506</v>
          </cell>
          <cell r="D52">
            <v>745.38018983187123</v>
          </cell>
          <cell r="E52">
            <v>203.28550631778302</v>
          </cell>
          <cell r="F52">
            <v>5082.1376579445769</v>
          </cell>
          <cell r="G52">
            <v>2032.8550631778305</v>
          </cell>
          <cell r="H52">
            <v>1524</v>
          </cell>
          <cell r="J52">
            <v>171.35702054794521</v>
          </cell>
          <cell r="K52">
            <v>2038</v>
          </cell>
          <cell r="N52">
            <v>2795</v>
          </cell>
        </row>
        <row r="53">
          <cell r="C53">
            <v>1003.7499766248004</v>
          </cell>
          <cell r="D53">
            <v>220.82499485745606</v>
          </cell>
          <cell r="E53">
            <v>60.224998597488018</v>
          </cell>
          <cell r="F53">
            <v>1505.6249649372005</v>
          </cell>
          <cell r="G53">
            <v>602.24998597488013</v>
          </cell>
          <cell r="H53">
            <v>0</v>
          </cell>
          <cell r="J53">
            <v>415.56501041356739</v>
          </cell>
          <cell r="K53">
            <v>13510</v>
          </cell>
          <cell r="N53">
            <v>15514</v>
          </cell>
        </row>
        <row r="54">
          <cell r="C54">
            <v>2224.3153242356689</v>
          </cell>
          <cell r="D54">
            <v>489.34937133184712</v>
          </cell>
          <cell r="E54">
            <v>133.45891945414013</v>
          </cell>
          <cell r="F54">
            <v>3336.4729863535031</v>
          </cell>
          <cell r="G54">
            <v>1334.5891945414012</v>
          </cell>
          <cell r="H54">
            <v>478</v>
          </cell>
          <cell r="J54">
            <v>171.35736224028906</v>
          </cell>
          <cell r="K54">
            <v>6065</v>
          </cell>
          <cell r="N54">
            <v>8158</v>
          </cell>
        </row>
        <row r="55">
          <cell r="C55">
            <v>3005.551066355034</v>
          </cell>
          <cell r="D55">
            <v>661.22123459810746</v>
          </cell>
          <cell r="E55">
            <v>180.33306398130202</v>
          </cell>
          <cell r="F55">
            <v>4508.326599532551</v>
          </cell>
          <cell r="G55">
            <v>1803.3306398130203</v>
          </cell>
          <cell r="H55">
            <v>881</v>
          </cell>
          <cell r="J55">
            <v>171.35727165817326</v>
          </cell>
          <cell r="K55">
            <v>3280</v>
          </cell>
          <cell r="N55">
            <v>3280</v>
          </cell>
        </row>
        <row r="56">
          <cell r="C56">
            <v>2912.7750600565391</v>
          </cell>
          <cell r="D56">
            <v>640.81051321243865</v>
          </cell>
          <cell r="E56">
            <v>174.76650360339235</v>
          </cell>
          <cell r="F56">
            <v>4369.1625900848085</v>
          </cell>
          <cell r="G56">
            <v>1747.6650360339233</v>
          </cell>
          <cell r="H56">
            <v>1007</v>
          </cell>
          <cell r="J56">
            <v>171.35729907053033</v>
          </cell>
          <cell r="K56">
            <v>2870</v>
          </cell>
          <cell r="N56">
            <v>4067</v>
          </cell>
        </row>
        <row r="57">
          <cell r="C57">
            <v>2698.1190234603205</v>
          </cell>
          <cell r="D57">
            <v>593.58618516127046</v>
          </cell>
          <cell r="E57">
            <v>161.88714140761925</v>
          </cell>
          <cell r="F57">
            <v>4047.1785351904805</v>
          </cell>
          <cell r="G57">
            <v>1618.8714140761924</v>
          </cell>
          <cell r="H57">
            <v>900</v>
          </cell>
          <cell r="J57">
            <v>171.35732747479969</v>
          </cell>
          <cell r="K57">
            <v>4382</v>
          </cell>
          <cell r="N57">
            <v>4865</v>
          </cell>
        </row>
        <row r="58">
          <cell r="C58">
            <v>2736.0108769694511</v>
          </cell>
          <cell r="D58">
            <v>601.92239293327941</v>
          </cell>
          <cell r="E58">
            <v>164.16065261816706</v>
          </cell>
          <cell r="F58">
            <v>4104.0163154541769</v>
          </cell>
          <cell r="G58">
            <v>1641.6065261816707</v>
          </cell>
          <cell r="H58">
            <v>905</v>
          </cell>
          <cell r="J58">
            <v>171.35728731292974</v>
          </cell>
          <cell r="K58">
            <v>6196</v>
          </cell>
          <cell r="N58">
            <v>7050</v>
          </cell>
        </row>
        <row r="59">
          <cell r="C59">
            <v>3082.7463262095339</v>
          </cell>
          <cell r="D59">
            <v>678.20419176609732</v>
          </cell>
          <cell r="E59">
            <v>184.96477957257204</v>
          </cell>
          <cell r="F59">
            <v>4624.1194893143011</v>
          </cell>
          <cell r="G59">
            <v>1849.64779572572</v>
          </cell>
          <cell r="H59">
            <v>934</v>
          </cell>
          <cell r="J59">
            <v>171.3572925398156</v>
          </cell>
          <cell r="K59">
            <v>2893</v>
          </cell>
          <cell r="N59">
            <v>3046</v>
          </cell>
        </row>
        <row r="60">
          <cell r="C60">
            <v>2336.7521629408939</v>
          </cell>
          <cell r="D60">
            <v>514.0854758469967</v>
          </cell>
          <cell r="E60">
            <v>140.20512977645362</v>
          </cell>
          <cell r="F60">
            <v>3505.1282444113417</v>
          </cell>
          <cell r="G60">
            <v>1402.0512977645365</v>
          </cell>
          <cell r="H60">
            <v>668</v>
          </cell>
          <cell r="J60">
            <v>171.35732009925559</v>
          </cell>
          <cell r="K60">
            <v>7004</v>
          </cell>
          <cell r="N60">
            <v>7004</v>
          </cell>
        </row>
        <row r="61">
          <cell r="C61">
            <v>2683.7757416176601</v>
          </cell>
          <cell r="D61">
            <v>590.4306631558851</v>
          </cell>
          <cell r="E61">
            <v>161.02654449705958</v>
          </cell>
          <cell r="F61">
            <v>4025.6636124264892</v>
          </cell>
          <cell r="G61">
            <v>1610.2654449705956</v>
          </cell>
          <cell r="H61">
            <v>819</v>
          </cell>
          <cell r="J61">
            <v>171.35725181524194</v>
          </cell>
          <cell r="K61">
            <v>4080</v>
          </cell>
          <cell r="N61">
            <v>4080</v>
          </cell>
        </row>
        <row r="62">
          <cell r="C62">
            <v>3101.1587914925981</v>
          </cell>
          <cell r="D62">
            <v>682.25493412837147</v>
          </cell>
          <cell r="E62">
            <v>186.06952748955587</v>
          </cell>
          <cell r="F62">
            <v>4651.738187238896</v>
          </cell>
          <cell r="G62">
            <v>1860.6952748955587</v>
          </cell>
          <cell r="H62">
            <v>1264</v>
          </cell>
          <cell r="J62">
            <v>171.35714285714286</v>
          </cell>
          <cell r="K62">
            <v>3599</v>
          </cell>
          <cell r="N62">
            <v>4526</v>
          </cell>
        </row>
        <row r="63">
          <cell r="C63">
            <v>3166.7588950704126</v>
          </cell>
          <cell r="D63">
            <v>696.68695691549078</v>
          </cell>
          <cell r="E63">
            <v>190.00553370422477</v>
          </cell>
          <cell r="F63">
            <v>4750.1383426056191</v>
          </cell>
          <cell r="G63">
            <v>1900.0553370422472</v>
          </cell>
          <cell r="H63">
            <v>930</v>
          </cell>
          <cell r="J63">
            <v>171.35724286483577</v>
          </cell>
          <cell r="K63">
            <v>2826</v>
          </cell>
          <cell r="N63">
            <v>2826</v>
          </cell>
        </row>
        <row r="64">
          <cell r="C64">
            <v>3353.9765930889989</v>
          </cell>
          <cell r="D64">
            <v>737.87485047957978</v>
          </cell>
          <cell r="E64">
            <v>201.23859558533994</v>
          </cell>
          <cell r="F64">
            <v>5030.9648896334984</v>
          </cell>
          <cell r="G64">
            <v>2012.3859558533993</v>
          </cell>
          <cell r="H64">
            <v>1352</v>
          </cell>
          <cell r="J64">
            <v>171.35724477882994</v>
          </cell>
          <cell r="K64">
            <v>2180</v>
          </cell>
          <cell r="N64">
            <v>2708</v>
          </cell>
        </row>
        <row r="65">
          <cell r="C65">
            <v>3577.3709556403396</v>
          </cell>
          <cell r="D65">
            <v>787.02161024087479</v>
          </cell>
          <cell r="E65">
            <v>214.64225733842042</v>
          </cell>
          <cell r="F65">
            <v>5366.0564334605097</v>
          </cell>
          <cell r="G65">
            <v>2146.422573384204</v>
          </cell>
          <cell r="H65">
            <v>826</v>
          </cell>
          <cell r="J65">
            <v>171.35726141078837</v>
          </cell>
          <cell r="K65">
            <v>1610</v>
          </cell>
          <cell r="N65">
            <v>1835</v>
          </cell>
        </row>
        <row r="66">
          <cell r="C66">
            <v>2966.6761447756203</v>
          </cell>
          <cell r="D66">
            <v>652.66875185063645</v>
          </cell>
          <cell r="E66">
            <v>178.00056868653721</v>
          </cell>
          <cell r="F66">
            <v>4450.0142171634307</v>
          </cell>
          <cell r="G66">
            <v>1780.0056868653724</v>
          </cell>
          <cell r="H66">
            <v>1134</v>
          </cell>
          <cell r="J66">
            <v>171.35720712614719</v>
          </cell>
          <cell r="K66">
            <v>3123</v>
          </cell>
          <cell r="N66">
            <v>4326</v>
          </cell>
        </row>
        <row r="67">
          <cell r="C67">
            <v>1883.4606459756735</v>
          </cell>
          <cell r="D67">
            <v>414.36134211464815</v>
          </cell>
          <cell r="E67">
            <v>113.00763875854039</v>
          </cell>
          <cell r="F67">
            <v>2825.1909689635099</v>
          </cell>
          <cell r="G67">
            <v>1130.0763875854041</v>
          </cell>
          <cell r="H67">
            <v>178</v>
          </cell>
          <cell r="J67">
            <v>171.35716122396502</v>
          </cell>
          <cell r="K67">
            <v>9330</v>
          </cell>
          <cell r="N67">
            <v>11148</v>
          </cell>
        </row>
        <row r="68">
          <cell r="C68">
            <v>3302.1678031095471</v>
          </cell>
          <cell r="D68">
            <v>726.47691668410039</v>
          </cell>
          <cell r="E68">
            <v>198.13006818657283</v>
          </cell>
          <cell r="F68">
            <v>4953.2517046643206</v>
          </cell>
          <cell r="G68">
            <v>1981.3006818657282</v>
          </cell>
          <cell r="H68">
            <v>1063</v>
          </cell>
          <cell r="J68">
            <v>171.35710397387044</v>
          </cell>
          <cell r="K68">
            <v>2672</v>
          </cell>
          <cell r="N68">
            <v>2672</v>
          </cell>
        </row>
        <row r="69">
          <cell r="C69">
            <v>1756.2793870721682</v>
          </cell>
          <cell r="D69">
            <v>386.38146515587704</v>
          </cell>
          <cell r="E69">
            <v>105.37676322433009</v>
          </cell>
          <cell r="F69">
            <v>2634.4190806082524</v>
          </cell>
          <cell r="G69">
            <v>1053.7676322433008</v>
          </cell>
          <cell r="H69">
            <v>69</v>
          </cell>
          <cell r="J69">
            <v>428.73658772353792</v>
          </cell>
          <cell r="K69">
            <v>10503</v>
          </cell>
          <cell r="N69">
            <v>12149</v>
          </cell>
        </row>
        <row r="70">
          <cell r="C70">
            <v>3126.8987972147388</v>
          </cell>
          <cell r="D70">
            <v>687.91773538724249</v>
          </cell>
          <cell r="E70">
            <v>187.61392783288434</v>
          </cell>
          <cell r="F70">
            <v>4690.3481958221091</v>
          </cell>
          <cell r="G70">
            <v>1876.1392783288434</v>
          </cell>
          <cell r="H70">
            <v>1288</v>
          </cell>
          <cell r="J70">
            <v>171.35744456177403</v>
          </cell>
          <cell r="K70">
            <v>3166</v>
          </cell>
          <cell r="N70">
            <v>3422</v>
          </cell>
        </row>
        <row r="71">
          <cell r="C71">
            <v>2692.0477700035412</v>
          </cell>
          <cell r="D71">
            <v>592.25050940077915</v>
          </cell>
          <cell r="E71">
            <v>161.52286620021246</v>
          </cell>
          <cell r="F71">
            <v>4038.0716550053121</v>
          </cell>
          <cell r="G71">
            <v>1615.2286620021248</v>
          </cell>
          <cell r="H71">
            <v>895</v>
          </cell>
          <cell r="J71">
            <v>171.3572798159274</v>
          </cell>
          <cell r="K71">
            <v>5163</v>
          </cell>
          <cell r="N71">
            <v>5521</v>
          </cell>
        </row>
        <row r="72">
          <cell r="C72">
            <v>2921.551442256196</v>
          </cell>
          <cell r="D72">
            <v>642.74131729636315</v>
          </cell>
          <cell r="E72">
            <v>175.29308653537174</v>
          </cell>
          <cell r="F72">
            <v>4382.3271633842933</v>
          </cell>
          <cell r="G72">
            <v>1752.9308653537175</v>
          </cell>
          <cell r="H72">
            <v>1260</v>
          </cell>
          <cell r="J72">
            <v>171.35737009544007</v>
          </cell>
          <cell r="K72">
            <v>4627</v>
          </cell>
          <cell r="N72">
            <v>4627</v>
          </cell>
        </row>
        <row r="73">
          <cell r="C73">
            <v>2958.756197147447</v>
          </cell>
          <cell r="D73">
            <v>650.92636337243835</v>
          </cell>
          <cell r="E73">
            <v>177.5253718288468</v>
          </cell>
          <cell r="F73">
            <v>4438.1342957211709</v>
          </cell>
          <cell r="G73">
            <v>1775.2537182884682</v>
          </cell>
          <cell r="H73">
            <v>1046</v>
          </cell>
          <cell r="J73">
            <v>171.35728914541053</v>
          </cell>
          <cell r="K73">
            <v>4206</v>
          </cell>
          <cell r="N73">
            <v>5373</v>
          </cell>
        </row>
        <row r="74">
          <cell r="C74">
            <v>3160.1124464567101</v>
          </cell>
          <cell r="D74">
            <v>695.22473822047607</v>
          </cell>
          <cell r="E74">
            <v>189.60674678740253</v>
          </cell>
          <cell r="F74">
            <v>4740.1686696850647</v>
          </cell>
          <cell r="G74">
            <v>1896.0674678740254</v>
          </cell>
          <cell r="H74">
            <v>1346</v>
          </cell>
          <cell r="J74">
            <v>171.35709656513285</v>
          </cell>
          <cell r="K74">
            <v>3799</v>
          </cell>
          <cell r="N74">
            <v>3799</v>
          </cell>
        </row>
        <row r="75">
          <cell r="C75">
            <v>3258.3942328830703</v>
          </cell>
          <cell r="D75">
            <v>716.84673123427547</v>
          </cell>
          <cell r="E75">
            <v>195.50365397298421</v>
          </cell>
          <cell r="F75">
            <v>4887.5913493246053</v>
          </cell>
          <cell r="G75">
            <v>1955.0365397298419</v>
          </cell>
          <cell r="H75">
            <v>1302</v>
          </cell>
          <cell r="J75">
            <v>171.35735294117646</v>
          </cell>
          <cell r="K75">
            <v>2864</v>
          </cell>
          <cell r="N75">
            <v>4221</v>
          </cell>
        </row>
        <row r="76">
          <cell r="C76">
            <v>2609.1478735061364</v>
          </cell>
          <cell r="D76">
            <v>570.96197950029125</v>
          </cell>
          <cell r="E76">
            <v>158.93557574793414</v>
          </cell>
          <cell r="F76">
            <v>3934.1092388173529</v>
          </cell>
          <cell r="G76">
            <v>1527.3259069250446</v>
          </cell>
          <cell r="H76">
            <v>760</v>
          </cell>
          <cell r="J76">
            <v>215.3655004364162</v>
          </cell>
          <cell r="K76">
            <v>5184</v>
          </cell>
          <cell r="N76">
            <v>5846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2"/>
  <sheetViews>
    <sheetView tabSelected="1" zoomScaleNormal="100" zoomScaleSheetLayoutView="100" workbookViewId="0">
      <pane xSplit="1" ySplit="3" topLeftCell="B4" activePane="bottomRight" state="frozen"/>
      <selection activeCell="B7" sqref="B7"/>
      <selection pane="topRight" activeCell="B7" sqref="B7"/>
      <selection pane="bottomLeft" activeCell="B7" sqref="B7"/>
      <selection pane="bottomRight" activeCell="B4" sqref="B4"/>
    </sheetView>
  </sheetViews>
  <sheetFormatPr defaultColWidth="9.140625" defaultRowHeight="12.75" x14ac:dyDescent="0.2"/>
  <cols>
    <col min="1" max="1" width="62.5703125" style="2" customWidth="1"/>
    <col min="2" max="2" width="20" style="2" customWidth="1"/>
    <col min="3" max="16384" width="9.140625" style="1"/>
  </cols>
  <sheetData>
    <row r="1" spans="1:2" ht="40.5" customHeight="1" x14ac:dyDescent="0.2">
      <c r="A1" s="909" t="s">
        <v>0</v>
      </c>
      <c r="B1" s="909"/>
    </row>
    <row r="2" spans="1:2" s="2" customFormat="1" ht="40.5" customHeight="1" thickBot="1" x14ac:dyDescent="0.25">
      <c r="A2" s="910" t="s">
        <v>1</v>
      </c>
      <c r="B2" s="910"/>
    </row>
    <row r="3" spans="1:2" s="5" customFormat="1" ht="72" customHeight="1" thickTop="1" thickBot="1" x14ac:dyDescent="0.25">
      <c r="A3" s="3" t="s">
        <v>2</v>
      </c>
      <c r="B3" s="4" t="s">
        <v>3</v>
      </c>
    </row>
    <row r="4" spans="1:2" s="8" customFormat="1" ht="38.25" customHeight="1" thickTop="1" x14ac:dyDescent="0.2">
      <c r="A4" s="6" t="s">
        <v>4</v>
      </c>
      <c r="B4" s="7">
        <f>'3_Levels 1&amp;2'!U76</f>
        <v>2494303929</v>
      </c>
    </row>
    <row r="5" spans="1:2" s="8" customFormat="1" ht="38.25" customHeight="1" x14ac:dyDescent="0.2">
      <c r="A5" s="9" t="s">
        <v>5</v>
      </c>
      <c r="B5" s="10">
        <f>'3_Levels 1&amp;2'!AE76</f>
        <v>505651896</v>
      </c>
    </row>
    <row r="6" spans="1:2" s="8" customFormat="1" ht="54.75" customHeight="1" x14ac:dyDescent="0.2">
      <c r="A6" s="11" t="s">
        <v>6</v>
      </c>
      <c r="B6" s="10">
        <f>'3A_Level 3'!K76</f>
        <v>613823053</v>
      </c>
    </row>
    <row r="7" spans="1:2" s="8" customFormat="1" ht="84.75" customHeight="1" x14ac:dyDescent="0.2">
      <c r="A7" s="11" t="s">
        <v>7</v>
      </c>
      <c r="B7" s="10">
        <v>239223753.94999999</v>
      </c>
    </row>
    <row r="8" spans="1:2" s="8" customFormat="1" ht="38.25" customHeight="1" x14ac:dyDescent="0.2">
      <c r="A8" s="11" t="s">
        <v>8</v>
      </c>
      <c r="B8" s="10">
        <v>61031325.079999998</v>
      </c>
    </row>
    <row r="9" spans="1:2" s="8" customFormat="1" ht="38.25" customHeight="1" x14ac:dyDescent="0.2">
      <c r="A9" s="9" t="s">
        <v>9</v>
      </c>
      <c r="B9" s="10">
        <f>'2_State Distrib and Adjs'!AM76+'5A1_Labs'!M9+'5A2_Legacy Type 2'!AA14+'5A4_NOCCA'!J85+'5A5_LSMSA'!J85+'5A6_Thrive'!J85+'5B2_RSD LA'!R20+'5C1_NewType 2'!Z40</f>
        <v>-2048105</v>
      </c>
    </row>
    <row r="10" spans="1:2" s="8" customFormat="1" ht="38.25" customHeight="1" x14ac:dyDescent="0.2">
      <c r="A10" s="12" t="s">
        <v>10</v>
      </c>
      <c r="B10" s="10">
        <v>2290651</v>
      </c>
    </row>
    <row r="11" spans="1:2" s="8" customFormat="1" ht="38.25" customHeight="1" thickBot="1" x14ac:dyDescent="0.25">
      <c r="A11" s="13" t="s">
        <v>11</v>
      </c>
      <c r="B11" s="14">
        <f>SUM(B4:B10)</f>
        <v>3914276503.0299997</v>
      </c>
    </row>
    <row r="12" spans="1:2" ht="13.5" thickTop="1" x14ac:dyDescent="0.2"/>
  </sheetData>
  <sheetProtection password="D893" sheet="1" objects="1" scenarios="1" formatCells="0" formatColumns="0" formatRows="0"/>
  <mergeCells count="2">
    <mergeCell ref="A1:B1"/>
    <mergeCell ref="A2:B2"/>
  </mergeCells>
  <printOptions horizontalCentered="1"/>
  <pageMargins left="0.25" right="0.25" top="0.75" bottom="0.5" header="0.38" footer="0.16"/>
  <pageSetup paperSize="5" scale="95" fitToWidth="0" fitToHeight="0" orientation="portrait" r:id="rId1"/>
  <headerFooter alignWithMargins="0">
    <oddFooter>&amp;R&amp;12&amp;P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S88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12.5703125" defaultRowHeight="12.75" x14ac:dyDescent="0.2"/>
  <cols>
    <col min="1" max="1" width="6.28515625" style="172" customWidth="1"/>
    <col min="2" max="2" width="27.42578125" style="172" customWidth="1"/>
    <col min="3" max="3" width="12.140625" style="531" customWidth="1"/>
    <col min="4" max="4" width="14.5703125" style="531" customWidth="1"/>
    <col min="5" max="5" width="11.7109375" style="531" bestFit="1" customWidth="1"/>
    <col min="6" max="6" width="12.85546875" style="531" bestFit="1" customWidth="1"/>
    <col min="7" max="7" width="13.42578125" style="531" customWidth="1"/>
    <col min="8" max="9" width="11.42578125" style="531" customWidth="1"/>
    <col min="10" max="10" width="11.28515625" style="531" customWidth="1"/>
    <col min="11" max="11" width="12.7109375" style="531" customWidth="1"/>
    <col min="12" max="12" width="15.7109375" style="531" customWidth="1"/>
    <col min="13" max="14" width="12.7109375" style="531" customWidth="1"/>
    <col min="15" max="16" width="15.7109375" style="531" customWidth="1"/>
    <col min="17" max="18" width="14" style="531" customWidth="1"/>
    <col min="19" max="19" width="15.7109375" style="531" customWidth="1"/>
    <col min="20" max="16384" width="12.5703125" style="172"/>
  </cols>
  <sheetData>
    <row r="1" spans="1:19" s="452" customFormat="1" ht="30" customHeight="1" x14ac:dyDescent="0.2">
      <c r="A1" s="1030" t="s">
        <v>714</v>
      </c>
      <c r="B1" s="1040"/>
      <c r="C1" s="1041" t="s">
        <v>715</v>
      </c>
      <c r="D1" s="1041"/>
      <c r="E1" s="1041"/>
      <c r="F1" s="1041"/>
      <c r="G1" s="1041"/>
      <c r="H1" s="1041"/>
      <c r="I1" s="1041"/>
      <c r="J1" s="1041"/>
      <c r="K1" s="1041"/>
      <c r="L1" s="1042" t="s">
        <v>716</v>
      </c>
      <c r="M1" s="1042"/>
      <c r="N1" s="1042"/>
      <c r="O1" s="1042"/>
      <c r="P1" s="1042"/>
      <c r="Q1" s="1042"/>
      <c r="R1" s="1042"/>
      <c r="S1" s="1042"/>
    </row>
    <row r="2" spans="1:19" ht="91.5" customHeight="1" x14ac:dyDescent="0.2">
      <c r="A2" s="1032"/>
      <c r="B2" s="1033"/>
      <c r="C2" s="1038" t="s">
        <v>717</v>
      </c>
      <c r="D2" s="1038" t="s">
        <v>718</v>
      </c>
      <c r="E2" s="453" t="s">
        <v>719</v>
      </c>
      <c r="F2" s="453" t="s">
        <v>720</v>
      </c>
      <c r="G2" s="1038" t="s">
        <v>721</v>
      </c>
      <c r="H2" s="1038" t="s">
        <v>636</v>
      </c>
      <c r="I2" s="1038" t="s">
        <v>637</v>
      </c>
      <c r="J2" s="1038" t="s">
        <v>673</v>
      </c>
      <c r="K2" s="1038" t="s">
        <v>722</v>
      </c>
      <c r="L2" s="1039" t="s">
        <v>723</v>
      </c>
      <c r="M2" s="1039" t="s">
        <v>724</v>
      </c>
      <c r="N2" s="1039" t="s">
        <v>725</v>
      </c>
      <c r="O2" s="1039" t="s">
        <v>726</v>
      </c>
      <c r="P2" s="1039" t="s">
        <v>727</v>
      </c>
      <c r="Q2" s="1039" t="s">
        <v>728</v>
      </c>
      <c r="R2" s="1039" t="s">
        <v>637</v>
      </c>
      <c r="S2" s="1039" t="s">
        <v>729</v>
      </c>
    </row>
    <row r="3" spans="1:19" ht="15.75" customHeight="1" x14ac:dyDescent="0.2">
      <c r="A3" s="1034"/>
      <c r="B3" s="1035"/>
      <c r="C3" s="1038"/>
      <c r="D3" s="1038"/>
      <c r="E3" s="454">
        <v>0.31638418079096048</v>
      </c>
      <c r="F3" s="455">
        <v>1470.3473918621949</v>
      </c>
      <c r="G3" s="1038"/>
      <c r="H3" s="1038"/>
      <c r="I3" s="1038"/>
      <c r="J3" s="1038"/>
      <c r="K3" s="1038"/>
      <c r="L3" s="1039"/>
      <c r="M3" s="1039"/>
      <c r="N3" s="1039"/>
      <c r="O3" s="1039"/>
      <c r="P3" s="1039"/>
      <c r="Q3" s="1039"/>
      <c r="R3" s="1039"/>
      <c r="S3" s="1039"/>
    </row>
    <row r="4" spans="1:19" s="458" customFormat="1" ht="14.25" customHeight="1" x14ac:dyDescent="0.2">
      <c r="A4" s="456"/>
      <c r="B4" s="457"/>
      <c r="C4" s="377">
        <v>1</v>
      </c>
      <c r="D4" s="377">
        <f t="shared" ref="D4:S4" si="0">C4+1</f>
        <v>2</v>
      </c>
      <c r="E4" s="377">
        <f t="shared" si="0"/>
        <v>3</v>
      </c>
      <c r="F4" s="377">
        <f t="shared" si="0"/>
        <v>4</v>
      </c>
      <c r="G4" s="377">
        <f t="shared" si="0"/>
        <v>5</v>
      </c>
      <c r="H4" s="377">
        <f t="shared" si="0"/>
        <v>6</v>
      </c>
      <c r="I4" s="377">
        <f t="shared" si="0"/>
        <v>7</v>
      </c>
      <c r="J4" s="377">
        <f t="shared" si="0"/>
        <v>8</v>
      </c>
      <c r="K4" s="377">
        <f t="shared" si="0"/>
        <v>9</v>
      </c>
      <c r="L4" s="377">
        <f t="shared" si="0"/>
        <v>10</v>
      </c>
      <c r="M4" s="377">
        <f t="shared" si="0"/>
        <v>11</v>
      </c>
      <c r="N4" s="377">
        <f t="shared" si="0"/>
        <v>12</v>
      </c>
      <c r="O4" s="377">
        <f t="shared" si="0"/>
        <v>13</v>
      </c>
      <c r="P4" s="377">
        <f t="shared" si="0"/>
        <v>14</v>
      </c>
      <c r="Q4" s="377">
        <f t="shared" si="0"/>
        <v>15</v>
      </c>
      <c r="R4" s="377">
        <f t="shared" si="0"/>
        <v>16</v>
      </c>
      <c r="S4" s="377">
        <f t="shared" si="0"/>
        <v>17</v>
      </c>
    </row>
    <row r="5" spans="1:19" s="460" customFormat="1" ht="22.5" hidden="1" x14ac:dyDescent="0.2">
      <c r="A5" s="459"/>
      <c r="B5" s="459"/>
      <c r="C5" s="382" t="s">
        <v>730</v>
      </c>
      <c r="D5" s="382" t="s">
        <v>73</v>
      </c>
      <c r="E5" s="382" t="s">
        <v>74</v>
      </c>
      <c r="F5" s="382" t="s">
        <v>74</v>
      </c>
      <c r="G5" s="380" t="s">
        <v>731</v>
      </c>
      <c r="H5" s="382" t="s">
        <v>732</v>
      </c>
      <c r="I5" s="382" t="s">
        <v>74</v>
      </c>
      <c r="J5" s="382" t="s">
        <v>74</v>
      </c>
      <c r="K5" s="380" t="s">
        <v>733</v>
      </c>
      <c r="L5" s="382" t="s">
        <v>73</v>
      </c>
      <c r="M5" s="382" t="s">
        <v>73</v>
      </c>
      <c r="N5" s="382" t="s">
        <v>74</v>
      </c>
      <c r="O5" s="382" t="s">
        <v>74</v>
      </c>
      <c r="P5" s="382" t="s">
        <v>74</v>
      </c>
      <c r="Q5" s="382" t="s">
        <v>732</v>
      </c>
      <c r="R5" s="382" t="s">
        <v>74</v>
      </c>
      <c r="S5" s="382" t="s">
        <v>74</v>
      </c>
    </row>
    <row r="6" spans="1:19" s="460" customFormat="1" ht="33.75" x14ac:dyDescent="0.2">
      <c r="A6" s="459"/>
      <c r="B6" s="459"/>
      <c r="C6" s="382" t="s">
        <v>734</v>
      </c>
      <c r="D6" s="382" t="s">
        <v>735</v>
      </c>
      <c r="E6" s="382" t="s">
        <v>736</v>
      </c>
      <c r="F6" s="382" t="s">
        <v>737</v>
      </c>
      <c r="G6" s="382" t="s">
        <v>738</v>
      </c>
      <c r="H6" s="382" t="s">
        <v>739</v>
      </c>
      <c r="I6" s="382" t="s">
        <v>740</v>
      </c>
      <c r="J6" s="382" t="s">
        <v>741</v>
      </c>
      <c r="K6" s="382" t="s">
        <v>742</v>
      </c>
      <c r="L6" s="382" t="s">
        <v>743</v>
      </c>
      <c r="M6" s="382" t="s">
        <v>744</v>
      </c>
      <c r="N6" s="382" t="s">
        <v>745</v>
      </c>
      <c r="O6" s="382" t="s">
        <v>746</v>
      </c>
      <c r="P6" s="382" t="s">
        <v>747</v>
      </c>
      <c r="Q6" s="382" t="s">
        <v>748</v>
      </c>
      <c r="R6" s="382" t="s">
        <v>749</v>
      </c>
      <c r="S6" s="382" t="s">
        <v>750</v>
      </c>
    </row>
    <row r="7" spans="1:19" ht="15.6" customHeight="1" x14ac:dyDescent="0.2">
      <c r="A7" s="461">
        <v>1</v>
      </c>
      <c r="B7" s="462" t="s">
        <v>131</v>
      </c>
      <c r="C7" s="463">
        <v>4.2840239999999996</v>
      </c>
      <c r="D7" s="464">
        <f>'3_Levels 1&amp;2'!AQ7</f>
        <v>5958.7864902656775</v>
      </c>
      <c r="E7" s="464">
        <f>D7*(1+$E$3)</f>
        <v>7844.0522724966258</v>
      </c>
      <c r="F7" s="464">
        <f>E7+$F$3</f>
        <v>9314.3996643588216</v>
      </c>
      <c r="G7" s="465">
        <f t="shared" ref="G7:G70" si="1">ROUND(C7*F7,0)</f>
        <v>39903</v>
      </c>
      <c r="H7" s="464"/>
      <c r="I7" s="464">
        <f t="shared" ref="I7:I70" si="2">G7-H7</f>
        <v>39903</v>
      </c>
      <c r="J7" s="465">
        <f t="shared" ref="J7:J70" si="3">ROUND(I7/$J$87,0)</f>
        <v>3325</v>
      </c>
      <c r="K7" s="465">
        <f>G7</f>
        <v>39903</v>
      </c>
      <c r="L7" s="466">
        <f>'3_Levels 1&amp;2'!AT7</f>
        <v>24766410</v>
      </c>
      <c r="M7" s="467">
        <f>'3_Levels 1&amp;2'!C7</f>
        <v>9297</v>
      </c>
      <c r="N7" s="463">
        <f t="shared" ref="N7:N70" si="4">C7+M7</f>
        <v>9301.2840240000005</v>
      </c>
      <c r="O7" s="468">
        <f>L7/N7</f>
        <v>2662.6872092170829</v>
      </c>
      <c r="P7" s="469">
        <f>ROUND(C7*O7,0)</f>
        <v>11407</v>
      </c>
      <c r="Q7" s="468"/>
      <c r="R7" s="468">
        <f>P7-Q7</f>
        <v>11407</v>
      </c>
      <c r="S7" s="469">
        <f t="shared" ref="S7:S70" si="5">ROUND(R7/$S$87,0)</f>
        <v>951</v>
      </c>
    </row>
    <row r="8" spans="1:19" ht="15.6" customHeight="1" x14ac:dyDescent="0.2">
      <c r="A8" s="470">
        <v>2</v>
      </c>
      <c r="B8" s="471" t="s">
        <v>132</v>
      </c>
      <c r="C8" s="472">
        <v>0.57396400000000003</v>
      </c>
      <c r="D8" s="473">
        <f>'3_Levels 1&amp;2'!AQ8</f>
        <v>7483.7106076210093</v>
      </c>
      <c r="E8" s="473">
        <f t="shared" ref="E8:E71" si="6">D8*(1+$E$3)</f>
        <v>9851.4382574898027</v>
      </c>
      <c r="F8" s="473">
        <f t="shared" ref="F8:F71" si="7">E8+$F$3</f>
        <v>11321.785649351998</v>
      </c>
      <c r="G8" s="474">
        <f t="shared" si="1"/>
        <v>6498</v>
      </c>
      <c r="H8" s="473"/>
      <c r="I8" s="473">
        <f t="shared" si="2"/>
        <v>6498</v>
      </c>
      <c r="J8" s="474">
        <f t="shared" si="3"/>
        <v>542</v>
      </c>
      <c r="K8" s="474">
        <f t="shared" ref="K8:K71" si="8">G8</f>
        <v>6498</v>
      </c>
      <c r="L8" s="475">
        <f>'3_Levels 1&amp;2'!AT8</f>
        <v>11437373.460000001</v>
      </c>
      <c r="M8" s="476">
        <f>'3_Levels 1&amp;2'!C8</f>
        <v>3884</v>
      </c>
      <c r="N8" s="472">
        <f t="shared" si="4"/>
        <v>3884.5739640000002</v>
      </c>
      <c r="O8" s="477">
        <f t="shared" ref="O8:O71" si="9">L8/N8</f>
        <v>2944.305750384729</v>
      </c>
      <c r="P8" s="478">
        <f t="shared" ref="P8:P71" si="10">ROUND(C8*O8,0)</f>
        <v>1690</v>
      </c>
      <c r="Q8" s="477"/>
      <c r="R8" s="477">
        <f t="shared" ref="R8:R71" si="11">P8-Q8</f>
        <v>1690</v>
      </c>
      <c r="S8" s="478">
        <f t="shared" si="5"/>
        <v>141</v>
      </c>
    </row>
    <row r="9" spans="1:19" ht="15.6" customHeight="1" x14ac:dyDescent="0.2">
      <c r="A9" s="470">
        <v>3</v>
      </c>
      <c r="B9" s="471" t="s">
        <v>133</v>
      </c>
      <c r="C9" s="472">
        <v>0.60355000000000003</v>
      </c>
      <c r="D9" s="473">
        <f>'3_Levels 1&amp;2'!AQ9</f>
        <v>4802.926621457138</v>
      </c>
      <c r="E9" s="473">
        <f t="shared" si="6"/>
        <v>6322.4966259859502</v>
      </c>
      <c r="F9" s="473">
        <f t="shared" si="7"/>
        <v>7792.8440178481451</v>
      </c>
      <c r="G9" s="474">
        <f t="shared" si="1"/>
        <v>4703</v>
      </c>
      <c r="H9" s="473"/>
      <c r="I9" s="473">
        <f t="shared" si="2"/>
        <v>4703</v>
      </c>
      <c r="J9" s="474">
        <f t="shared" si="3"/>
        <v>392</v>
      </c>
      <c r="K9" s="474">
        <f t="shared" si="8"/>
        <v>4703</v>
      </c>
      <c r="L9" s="475">
        <f>'3_Levels 1&amp;2'!AT9</f>
        <v>85601225.140000001</v>
      </c>
      <c r="M9" s="476">
        <f>'3_Levels 1&amp;2'!C9</f>
        <v>23004</v>
      </c>
      <c r="N9" s="472">
        <f t="shared" si="4"/>
        <v>23004.60355</v>
      </c>
      <c r="O9" s="477">
        <f t="shared" si="9"/>
        <v>3721.0476135329877</v>
      </c>
      <c r="P9" s="478">
        <f t="shared" si="10"/>
        <v>2246</v>
      </c>
      <c r="Q9" s="477"/>
      <c r="R9" s="477">
        <f t="shared" si="11"/>
        <v>2246</v>
      </c>
      <c r="S9" s="478">
        <f t="shared" si="5"/>
        <v>187</v>
      </c>
    </row>
    <row r="10" spans="1:19" ht="15.6" customHeight="1" x14ac:dyDescent="0.2">
      <c r="A10" s="470">
        <v>4</v>
      </c>
      <c r="B10" s="471" t="s">
        <v>134</v>
      </c>
      <c r="C10" s="472">
        <v>0</v>
      </c>
      <c r="D10" s="473">
        <f>'3_Levels 1&amp;2'!AQ10</f>
        <v>6690.0888213441403</v>
      </c>
      <c r="E10" s="473">
        <f t="shared" si="6"/>
        <v>8806.7270925038683</v>
      </c>
      <c r="F10" s="473">
        <f t="shared" si="7"/>
        <v>10277.074484366063</v>
      </c>
      <c r="G10" s="474">
        <f t="shared" si="1"/>
        <v>0</v>
      </c>
      <c r="H10" s="473"/>
      <c r="I10" s="473">
        <f t="shared" si="2"/>
        <v>0</v>
      </c>
      <c r="J10" s="474">
        <f t="shared" si="3"/>
        <v>0</v>
      </c>
      <c r="K10" s="474">
        <f t="shared" si="8"/>
        <v>0</v>
      </c>
      <c r="L10" s="475">
        <f>'3_Levels 1&amp;2'!AT10</f>
        <v>10748351.140000001</v>
      </c>
      <c r="M10" s="476">
        <f>'3_Levels 1&amp;2'!C10</f>
        <v>2961</v>
      </c>
      <c r="N10" s="472">
        <f t="shared" si="4"/>
        <v>2961</v>
      </c>
      <c r="O10" s="477">
        <f t="shared" si="9"/>
        <v>3629.9733671057079</v>
      </c>
      <c r="P10" s="478">
        <f t="shared" si="10"/>
        <v>0</v>
      </c>
      <c r="Q10" s="477"/>
      <c r="R10" s="477">
        <f t="shared" si="11"/>
        <v>0</v>
      </c>
      <c r="S10" s="478">
        <f t="shared" si="5"/>
        <v>0</v>
      </c>
    </row>
    <row r="11" spans="1:19" ht="15.6" customHeight="1" x14ac:dyDescent="0.2">
      <c r="A11" s="479">
        <v>5</v>
      </c>
      <c r="B11" s="480" t="s">
        <v>135</v>
      </c>
      <c r="C11" s="481">
        <v>1.994083</v>
      </c>
      <c r="D11" s="482">
        <f>'3_Levels 1&amp;2'!AQ11</f>
        <v>6284.5134979896611</v>
      </c>
      <c r="E11" s="482">
        <f t="shared" si="6"/>
        <v>8272.834152720854</v>
      </c>
      <c r="F11" s="482">
        <f t="shared" si="7"/>
        <v>9743.1815445830489</v>
      </c>
      <c r="G11" s="483">
        <f t="shared" si="1"/>
        <v>19429</v>
      </c>
      <c r="H11" s="482"/>
      <c r="I11" s="482">
        <f t="shared" si="2"/>
        <v>19429</v>
      </c>
      <c r="J11" s="483">
        <f t="shared" si="3"/>
        <v>1619</v>
      </c>
      <c r="K11" s="483">
        <f t="shared" si="8"/>
        <v>19429</v>
      </c>
      <c r="L11" s="484">
        <f>'3_Levels 1&amp;2'!AT11</f>
        <v>12272789</v>
      </c>
      <c r="M11" s="485">
        <f>'3_Levels 1&amp;2'!C11</f>
        <v>5223</v>
      </c>
      <c r="N11" s="481">
        <f t="shared" si="4"/>
        <v>5224.9940829999996</v>
      </c>
      <c r="O11" s="486">
        <f t="shared" si="9"/>
        <v>2348.8617987014859</v>
      </c>
      <c r="P11" s="487">
        <f t="shared" si="10"/>
        <v>4684</v>
      </c>
      <c r="Q11" s="486"/>
      <c r="R11" s="486">
        <f t="shared" si="11"/>
        <v>4684</v>
      </c>
      <c r="S11" s="487">
        <f t="shared" si="5"/>
        <v>390</v>
      </c>
    </row>
    <row r="12" spans="1:19" ht="15.6" customHeight="1" x14ac:dyDescent="0.2">
      <c r="A12" s="461">
        <v>6</v>
      </c>
      <c r="B12" s="462" t="s">
        <v>136</v>
      </c>
      <c r="C12" s="463">
        <v>1.8875740000000001</v>
      </c>
      <c r="D12" s="464">
        <f>'3_Levels 1&amp;2'!AQ12</f>
        <v>6206.1516873889877</v>
      </c>
      <c r="E12" s="464">
        <f t="shared" si="6"/>
        <v>8169.6799048679895</v>
      </c>
      <c r="F12" s="464">
        <f t="shared" si="7"/>
        <v>9640.0272967301844</v>
      </c>
      <c r="G12" s="465">
        <f t="shared" si="1"/>
        <v>18196</v>
      </c>
      <c r="H12" s="464"/>
      <c r="I12" s="464">
        <f t="shared" si="2"/>
        <v>18196</v>
      </c>
      <c r="J12" s="465">
        <f t="shared" si="3"/>
        <v>1516</v>
      </c>
      <c r="K12" s="465">
        <f t="shared" si="8"/>
        <v>18196</v>
      </c>
      <c r="L12" s="466">
        <f>'3_Levels 1&amp;2'!AT12</f>
        <v>19963705.379999999</v>
      </c>
      <c r="M12" s="467">
        <f>'3_Levels 1&amp;2'!C12</f>
        <v>5630</v>
      </c>
      <c r="N12" s="463">
        <f t="shared" si="4"/>
        <v>5631.8875740000003</v>
      </c>
      <c r="O12" s="468">
        <f t="shared" si="9"/>
        <v>3544.7627669564695</v>
      </c>
      <c r="P12" s="469">
        <f t="shared" si="10"/>
        <v>6691</v>
      </c>
      <c r="Q12" s="468"/>
      <c r="R12" s="468">
        <f t="shared" si="11"/>
        <v>6691</v>
      </c>
      <c r="S12" s="469">
        <f t="shared" si="5"/>
        <v>558</v>
      </c>
    </row>
    <row r="13" spans="1:19" ht="15.6" customHeight="1" x14ac:dyDescent="0.2">
      <c r="A13" s="470">
        <v>7</v>
      </c>
      <c r="B13" s="471" t="s">
        <v>137</v>
      </c>
      <c r="C13" s="472">
        <v>0</v>
      </c>
      <c r="D13" s="473">
        <f>'3_Levels 1&amp;2'!AQ13</f>
        <v>4079.7647357723577</v>
      </c>
      <c r="E13" s="473">
        <f t="shared" si="6"/>
        <v>5370.5377595195441</v>
      </c>
      <c r="F13" s="473">
        <f t="shared" si="7"/>
        <v>6840.885151381739</v>
      </c>
      <c r="G13" s="474">
        <f t="shared" si="1"/>
        <v>0</v>
      </c>
      <c r="H13" s="473"/>
      <c r="I13" s="473">
        <f t="shared" si="2"/>
        <v>0</v>
      </c>
      <c r="J13" s="474">
        <f t="shared" si="3"/>
        <v>0</v>
      </c>
      <c r="K13" s="474">
        <f t="shared" si="8"/>
        <v>0</v>
      </c>
      <c r="L13" s="475">
        <f>'3_Levels 1&amp;2'!AT13</f>
        <v>10823069.380000001</v>
      </c>
      <c r="M13" s="476">
        <f>'3_Levels 1&amp;2'!C13</f>
        <v>1968</v>
      </c>
      <c r="N13" s="472">
        <f t="shared" si="4"/>
        <v>1968</v>
      </c>
      <c r="O13" s="477">
        <f t="shared" si="9"/>
        <v>5499.5271239837402</v>
      </c>
      <c r="P13" s="478">
        <f t="shared" si="10"/>
        <v>0</v>
      </c>
      <c r="Q13" s="477"/>
      <c r="R13" s="477">
        <f t="shared" si="11"/>
        <v>0</v>
      </c>
      <c r="S13" s="478">
        <f t="shared" si="5"/>
        <v>0</v>
      </c>
    </row>
    <row r="14" spans="1:19" ht="15.6" customHeight="1" x14ac:dyDescent="0.2">
      <c r="A14" s="470">
        <v>8</v>
      </c>
      <c r="B14" s="471" t="s">
        <v>138</v>
      </c>
      <c r="C14" s="472">
        <v>1</v>
      </c>
      <c r="D14" s="473">
        <f>'3_Levels 1&amp;2'!AQ14</f>
        <v>5867.7344061650047</v>
      </c>
      <c r="E14" s="473">
        <f t="shared" si="6"/>
        <v>7724.1927493584526</v>
      </c>
      <c r="F14" s="473">
        <f t="shared" si="7"/>
        <v>9194.5401412206484</v>
      </c>
      <c r="G14" s="474">
        <f t="shared" si="1"/>
        <v>9195</v>
      </c>
      <c r="H14" s="473"/>
      <c r="I14" s="473">
        <f t="shared" si="2"/>
        <v>9195</v>
      </c>
      <c r="J14" s="474">
        <f t="shared" si="3"/>
        <v>766</v>
      </c>
      <c r="K14" s="474">
        <f t="shared" si="8"/>
        <v>9195</v>
      </c>
      <c r="L14" s="475">
        <f>'3_Levels 1&amp;2'!AT14</f>
        <v>76682688.319999993</v>
      </c>
      <c r="M14" s="476">
        <f>'3_Levels 1&amp;2'!C14</f>
        <v>22060</v>
      </c>
      <c r="N14" s="472">
        <f t="shared" si="4"/>
        <v>22061</v>
      </c>
      <c r="O14" s="477">
        <f t="shared" si="9"/>
        <v>3475.9389112007611</v>
      </c>
      <c r="P14" s="478">
        <f t="shared" si="10"/>
        <v>3476</v>
      </c>
      <c r="Q14" s="477"/>
      <c r="R14" s="477">
        <f t="shared" si="11"/>
        <v>3476</v>
      </c>
      <c r="S14" s="478">
        <f t="shared" si="5"/>
        <v>290</v>
      </c>
    </row>
    <row r="15" spans="1:19" ht="15.6" customHeight="1" x14ac:dyDescent="0.2">
      <c r="A15" s="470">
        <v>9</v>
      </c>
      <c r="B15" s="471" t="s">
        <v>139</v>
      </c>
      <c r="C15" s="472">
        <v>18.313610000000001</v>
      </c>
      <c r="D15" s="473">
        <f>'3_Levels 1&amp;2'!AQ15</f>
        <v>5522.5889262203282</v>
      </c>
      <c r="E15" s="473">
        <f t="shared" si="6"/>
        <v>7269.8486994877767</v>
      </c>
      <c r="F15" s="473">
        <f t="shared" si="7"/>
        <v>8740.1960913499715</v>
      </c>
      <c r="G15" s="474">
        <f t="shared" si="1"/>
        <v>160065</v>
      </c>
      <c r="H15" s="473"/>
      <c r="I15" s="473">
        <f t="shared" si="2"/>
        <v>160065</v>
      </c>
      <c r="J15" s="474">
        <f t="shared" si="3"/>
        <v>13339</v>
      </c>
      <c r="K15" s="474">
        <f t="shared" si="8"/>
        <v>160065</v>
      </c>
      <c r="L15" s="475">
        <f>'3_Levels 1&amp;2'!AT15</f>
        <v>135509297.36000001</v>
      </c>
      <c r="M15" s="476">
        <f>'3_Levels 1&amp;2'!C15</f>
        <v>36609</v>
      </c>
      <c r="N15" s="472">
        <f t="shared" si="4"/>
        <v>36627.313609999997</v>
      </c>
      <c r="O15" s="477">
        <f t="shared" si="9"/>
        <v>3699.6788463078337</v>
      </c>
      <c r="P15" s="478">
        <f t="shared" si="10"/>
        <v>67754</v>
      </c>
      <c r="Q15" s="477"/>
      <c r="R15" s="477">
        <f t="shared" si="11"/>
        <v>67754</v>
      </c>
      <c r="S15" s="478">
        <f t="shared" si="5"/>
        <v>5646</v>
      </c>
    </row>
    <row r="16" spans="1:19" ht="15.6" customHeight="1" x14ac:dyDescent="0.2">
      <c r="A16" s="479">
        <v>10</v>
      </c>
      <c r="B16" s="480" t="s">
        <v>140</v>
      </c>
      <c r="C16" s="481">
        <v>13.579882</v>
      </c>
      <c r="D16" s="482">
        <f>'3_Levels 1&amp;2'!AQ16</f>
        <v>4261.6575994441546</v>
      </c>
      <c r="E16" s="482">
        <f t="shared" si="6"/>
        <v>5609.9786478558644</v>
      </c>
      <c r="F16" s="482">
        <f t="shared" si="7"/>
        <v>7080.3260397180593</v>
      </c>
      <c r="G16" s="483">
        <f t="shared" si="1"/>
        <v>96150</v>
      </c>
      <c r="H16" s="482"/>
      <c r="I16" s="482">
        <f t="shared" si="2"/>
        <v>96150</v>
      </c>
      <c r="J16" s="483">
        <f t="shared" si="3"/>
        <v>8013</v>
      </c>
      <c r="K16" s="483">
        <f t="shared" si="8"/>
        <v>96150</v>
      </c>
      <c r="L16" s="484">
        <f>'3_Levels 1&amp;2'!AT16</f>
        <v>136261819.02000001</v>
      </c>
      <c r="M16" s="485">
        <f>'3_Levels 1&amp;2'!C16</f>
        <v>28785</v>
      </c>
      <c r="N16" s="481">
        <f t="shared" si="4"/>
        <v>28798.579882000002</v>
      </c>
      <c r="O16" s="486">
        <f t="shared" si="9"/>
        <v>4731.5464713302699</v>
      </c>
      <c r="P16" s="487">
        <f t="shared" si="10"/>
        <v>64254</v>
      </c>
      <c r="Q16" s="486"/>
      <c r="R16" s="486">
        <f t="shared" si="11"/>
        <v>64254</v>
      </c>
      <c r="S16" s="487">
        <f t="shared" si="5"/>
        <v>5355</v>
      </c>
    </row>
    <row r="17" spans="1:19" ht="15.6" customHeight="1" x14ac:dyDescent="0.2">
      <c r="A17" s="461">
        <v>11</v>
      </c>
      <c r="B17" s="462" t="s">
        <v>141</v>
      </c>
      <c r="C17" s="463">
        <v>0</v>
      </c>
      <c r="D17" s="464">
        <f>'3_Levels 1&amp;2'!AQ17</f>
        <v>7878.4217914438505</v>
      </c>
      <c r="E17" s="464">
        <f t="shared" si="6"/>
        <v>10371.029815855463</v>
      </c>
      <c r="F17" s="464">
        <f t="shared" si="7"/>
        <v>11841.377207717658</v>
      </c>
      <c r="G17" s="465">
        <f t="shared" si="1"/>
        <v>0</v>
      </c>
      <c r="H17" s="464"/>
      <c r="I17" s="464">
        <f t="shared" si="2"/>
        <v>0</v>
      </c>
      <c r="J17" s="465">
        <f t="shared" si="3"/>
        <v>0</v>
      </c>
      <c r="K17" s="465">
        <f t="shared" si="8"/>
        <v>0</v>
      </c>
      <c r="L17" s="466">
        <f>'3_Levels 1&amp;2'!AT17</f>
        <v>5158380.32</v>
      </c>
      <c r="M17" s="467">
        <f>'3_Levels 1&amp;2'!C17</f>
        <v>1496</v>
      </c>
      <c r="N17" s="463">
        <f t="shared" si="4"/>
        <v>1496</v>
      </c>
      <c r="O17" s="468">
        <f t="shared" si="9"/>
        <v>3448.1151871657758</v>
      </c>
      <c r="P17" s="469">
        <f t="shared" si="10"/>
        <v>0</v>
      </c>
      <c r="Q17" s="468"/>
      <c r="R17" s="468">
        <f t="shared" si="11"/>
        <v>0</v>
      </c>
      <c r="S17" s="469">
        <f t="shared" si="5"/>
        <v>0</v>
      </c>
    </row>
    <row r="18" spans="1:19" ht="15.6" customHeight="1" x14ac:dyDescent="0.2">
      <c r="A18" s="470">
        <v>12</v>
      </c>
      <c r="B18" s="471" t="s">
        <v>142</v>
      </c>
      <c r="C18" s="472">
        <v>0</v>
      </c>
      <c r="D18" s="473">
        <f>'3_Levels 1&amp;2'!AQ18</f>
        <v>2935.1220159151194</v>
      </c>
      <c r="E18" s="473">
        <f t="shared" si="6"/>
        <v>3863.7481904419369</v>
      </c>
      <c r="F18" s="473">
        <f t="shared" si="7"/>
        <v>5334.0955823041313</v>
      </c>
      <c r="G18" s="474">
        <f t="shared" si="1"/>
        <v>0</v>
      </c>
      <c r="H18" s="473"/>
      <c r="I18" s="473">
        <f t="shared" si="2"/>
        <v>0</v>
      </c>
      <c r="J18" s="474">
        <f t="shared" si="3"/>
        <v>0</v>
      </c>
      <c r="K18" s="474">
        <f t="shared" si="8"/>
        <v>0</v>
      </c>
      <c r="L18" s="475">
        <f>'3_Levels 1&amp;2'!AT18</f>
        <v>8385214.3799999999</v>
      </c>
      <c r="M18" s="476">
        <f>'3_Levels 1&amp;2'!C18</f>
        <v>1131</v>
      </c>
      <c r="N18" s="472">
        <f t="shared" si="4"/>
        <v>1131</v>
      </c>
      <c r="O18" s="477">
        <f t="shared" si="9"/>
        <v>7413.9826525198941</v>
      </c>
      <c r="P18" s="478">
        <f t="shared" si="10"/>
        <v>0</v>
      </c>
      <c r="Q18" s="477"/>
      <c r="R18" s="477">
        <f t="shared" si="11"/>
        <v>0</v>
      </c>
      <c r="S18" s="478">
        <f t="shared" si="5"/>
        <v>0</v>
      </c>
    </row>
    <row r="19" spans="1:19" ht="15.6" customHeight="1" x14ac:dyDescent="0.2">
      <c r="A19" s="470">
        <v>13</v>
      </c>
      <c r="B19" s="471" t="s">
        <v>143</v>
      </c>
      <c r="C19" s="472">
        <v>0</v>
      </c>
      <c r="D19" s="473">
        <f>'3_Levels 1&amp;2'!AQ19</f>
        <v>7629.6066270178417</v>
      </c>
      <c r="E19" s="473">
        <f t="shared" si="6"/>
        <v>10043.493469464163</v>
      </c>
      <c r="F19" s="473">
        <f t="shared" si="7"/>
        <v>11513.840861326358</v>
      </c>
      <c r="G19" s="474">
        <f t="shared" si="1"/>
        <v>0</v>
      </c>
      <c r="H19" s="473"/>
      <c r="I19" s="473">
        <f t="shared" si="2"/>
        <v>0</v>
      </c>
      <c r="J19" s="474">
        <f t="shared" si="3"/>
        <v>0</v>
      </c>
      <c r="K19" s="474">
        <f t="shared" si="8"/>
        <v>0</v>
      </c>
      <c r="L19" s="475">
        <f>'3_Levels 1&amp;2'!AT19</f>
        <v>3719408</v>
      </c>
      <c r="M19" s="476">
        <f>'3_Levels 1&amp;2'!C19</f>
        <v>1177</v>
      </c>
      <c r="N19" s="472">
        <f t="shared" si="4"/>
        <v>1177</v>
      </c>
      <c r="O19" s="477">
        <f t="shared" si="9"/>
        <v>3160.0747663551401</v>
      </c>
      <c r="P19" s="478">
        <f t="shared" si="10"/>
        <v>0</v>
      </c>
      <c r="Q19" s="477"/>
      <c r="R19" s="477">
        <f t="shared" si="11"/>
        <v>0</v>
      </c>
      <c r="S19" s="478">
        <f t="shared" si="5"/>
        <v>0</v>
      </c>
    </row>
    <row r="20" spans="1:19" ht="15.6" customHeight="1" x14ac:dyDescent="0.2">
      <c r="A20" s="470">
        <v>14</v>
      </c>
      <c r="B20" s="471" t="s">
        <v>144</v>
      </c>
      <c r="C20" s="472">
        <v>0</v>
      </c>
      <c r="D20" s="473">
        <f>'3_Levels 1&amp;2'!AQ20</f>
        <v>7735.3857808857811</v>
      </c>
      <c r="E20" s="473">
        <f t="shared" si="6"/>
        <v>10182.739474273372</v>
      </c>
      <c r="F20" s="473">
        <f t="shared" si="7"/>
        <v>11653.086866135567</v>
      </c>
      <c r="G20" s="474">
        <f t="shared" si="1"/>
        <v>0</v>
      </c>
      <c r="H20" s="473"/>
      <c r="I20" s="473">
        <f t="shared" si="2"/>
        <v>0</v>
      </c>
      <c r="J20" s="474">
        <f t="shared" si="3"/>
        <v>0</v>
      </c>
      <c r="K20" s="474">
        <f t="shared" si="8"/>
        <v>0</v>
      </c>
      <c r="L20" s="475">
        <f>'3_Levels 1&amp;2'!AT20</f>
        <v>7022092.1200000001</v>
      </c>
      <c r="M20" s="476">
        <f>'3_Levels 1&amp;2'!C20</f>
        <v>1716</v>
      </c>
      <c r="N20" s="472">
        <f t="shared" si="4"/>
        <v>1716</v>
      </c>
      <c r="O20" s="477">
        <f t="shared" si="9"/>
        <v>4092.128275058275</v>
      </c>
      <c r="P20" s="478">
        <f t="shared" si="10"/>
        <v>0</v>
      </c>
      <c r="Q20" s="477"/>
      <c r="R20" s="477">
        <f t="shared" si="11"/>
        <v>0</v>
      </c>
      <c r="S20" s="478">
        <f t="shared" si="5"/>
        <v>0</v>
      </c>
    </row>
    <row r="21" spans="1:19" ht="15.6" customHeight="1" x14ac:dyDescent="0.2">
      <c r="A21" s="479">
        <v>15</v>
      </c>
      <c r="B21" s="480" t="s">
        <v>145</v>
      </c>
      <c r="C21" s="481">
        <v>0.491124</v>
      </c>
      <c r="D21" s="482">
        <f>'3_Levels 1&amp;2'!AQ21</f>
        <v>7027.7337587006959</v>
      </c>
      <c r="E21" s="482">
        <f t="shared" si="6"/>
        <v>9251.1975467641932</v>
      </c>
      <c r="F21" s="482">
        <f t="shared" si="7"/>
        <v>10721.544938626388</v>
      </c>
      <c r="G21" s="483">
        <f t="shared" si="1"/>
        <v>5266</v>
      </c>
      <c r="H21" s="482"/>
      <c r="I21" s="482">
        <f t="shared" si="2"/>
        <v>5266</v>
      </c>
      <c r="J21" s="483">
        <f t="shared" si="3"/>
        <v>439</v>
      </c>
      <c r="K21" s="483">
        <f t="shared" si="8"/>
        <v>5266</v>
      </c>
      <c r="L21" s="484">
        <f>'3_Levels 1&amp;2'!AT21</f>
        <v>11208404</v>
      </c>
      <c r="M21" s="485">
        <f>'3_Levels 1&amp;2'!C21</f>
        <v>3448</v>
      </c>
      <c r="N21" s="481">
        <f t="shared" si="4"/>
        <v>3448.4911240000001</v>
      </c>
      <c r="O21" s="486">
        <f t="shared" si="9"/>
        <v>3250.2342610060318</v>
      </c>
      <c r="P21" s="487">
        <f t="shared" si="10"/>
        <v>1596</v>
      </c>
      <c r="Q21" s="486"/>
      <c r="R21" s="486">
        <f t="shared" si="11"/>
        <v>1596</v>
      </c>
      <c r="S21" s="487">
        <f t="shared" si="5"/>
        <v>133</v>
      </c>
    </row>
    <row r="22" spans="1:19" ht="15.6" customHeight="1" x14ac:dyDescent="0.2">
      <c r="A22" s="461">
        <v>16</v>
      </c>
      <c r="B22" s="462" t="s">
        <v>146</v>
      </c>
      <c r="C22" s="463">
        <v>2.4674559999999999</v>
      </c>
      <c r="D22" s="464">
        <f>'3_Levels 1&amp;2'!AQ22</f>
        <v>2712.0098395721925</v>
      </c>
      <c r="E22" s="464">
        <f t="shared" si="6"/>
        <v>3570.0468509622647</v>
      </c>
      <c r="F22" s="464">
        <f t="shared" si="7"/>
        <v>5040.3942428244591</v>
      </c>
      <c r="G22" s="465">
        <f t="shared" si="1"/>
        <v>12437</v>
      </c>
      <c r="H22" s="464"/>
      <c r="I22" s="464">
        <f t="shared" si="2"/>
        <v>12437</v>
      </c>
      <c r="J22" s="465">
        <f t="shared" si="3"/>
        <v>1036</v>
      </c>
      <c r="K22" s="465">
        <f t="shared" si="8"/>
        <v>12437</v>
      </c>
      <c r="L22" s="466">
        <f>'3_Levels 1&amp;2'!AT22</f>
        <v>27413948.98</v>
      </c>
      <c r="M22" s="467">
        <f>'3_Levels 1&amp;2'!C22</f>
        <v>4675</v>
      </c>
      <c r="N22" s="463">
        <f t="shared" si="4"/>
        <v>4677.4674560000003</v>
      </c>
      <c r="O22" s="468">
        <f t="shared" si="9"/>
        <v>5860.8529589735317</v>
      </c>
      <c r="P22" s="469">
        <f t="shared" si="10"/>
        <v>14461</v>
      </c>
      <c r="Q22" s="468"/>
      <c r="R22" s="468">
        <f t="shared" si="11"/>
        <v>14461</v>
      </c>
      <c r="S22" s="469">
        <f t="shared" si="5"/>
        <v>1205</v>
      </c>
    </row>
    <row r="23" spans="1:19" ht="15.6" customHeight="1" x14ac:dyDescent="0.2">
      <c r="A23" s="470">
        <v>17</v>
      </c>
      <c r="B23" s="471" t="s">
        <v>147</v>
      </c>
      <c r="C23" s="472">
        <v>16.000003</v>
      </c>
      <c r="D23" s="473">
        <f>'3_Levels 1&amp;2'!AQ23</f>
        <v>4389.6468894647087</v>
      </c>
      <c r="E23" s="473">
        <f t="shared" si="6"/>
        <v>5778.4617245495883</v>
      </c>
      <c r="F23" s="473">
        <f t="shared" si="7"/>
        <v>7248.8091164117832</v>
      </c>
      <c r="G23" s="474">
        <f t="shared" si="1"/>
        <v>115981</v>
      </c>
      <c r="H23" s="473"/>
      <c r="I23" s="473">
        <f t="shared" si="2"/>
        <v>115981</v>
      </c>
      <c r="J23" s="474">
        <f t="shared" si="3"/>
        <v>9665</v>
      </c>
      <c r="K23" s="474">
        <f t="shared" si="8"/>
        <v>115981</v>
      </c>
      <c r="L23" s="475">
        <f>'3_Levels 1&amp;2'!AT23</f>
        <v>208734250.47999999</v>
      </c>
      <c r="M23" s="476">
        <f>'3_Levels 1&amp;2'!C23</f>
        <v>45153</v>
      </c>
      <c r="N23" s="472">
        <f t="shared" si="4"/>
        <v>45169.000003000001</v>
      </c>
      <c r="O23" s="477">
        <f t="shared" si="9"/>
        <v>4621.1837868037028</v>
      </c>
      <c r="P23" s="478">
        <f t="shared" si="10"/>
        <v>73939</v>
      </c>
      <c r="Q23" s="477"/>
      <c r="R23" s="477">
        <f t="shared" si="11"/>
        <v>73939</v>
      </c>
      <c r="S23" s="478">
        <f t="shared" si="5"/>
        <v>6162</v>
      </c>
    </row>
    <row r="24" spans="1:19" ht="15.6" customHeight="1" x14ac:dyDescent="0.2">
      <c r="A24" s="470">
        <v>18</v>
      </c>
      <c r="B24" s="471" t="s">
        <v>148</v>
      </c>
      <c r="C24" s="472">
        <v>0</v>
      </c>
      <c r="D24" s="473">
        <f>'3_Levels 1&amp;2'!AQ24</f>
        <v>7093.865504358655</v>
      </c>
      <c r="E24" s="473">
        <f t="shared" si="6"/>
        <v>9338.2523305964205</v>
      </c>
      <c r="F24" s="473">
        <f t="shared" si="7"/>
        <v>10808.599722458615</v>
      </c>
      <c r="G24" s="474">
        <f t="shared" si="1"/>
        <v>0</v>
      </c>
      <c r="H24" s="473"/>
      <c r="I24" s="473">
        <f t="shared" si="2"/>
        <v>0</v>
      </c>
      <c r="J24" s="474">
        <f t="shared" si="3"/>
        <v>0</v>
      </c>
      <c r="K24" s="474">
        <f t="shared" si="8"/>
        <v>0</v>
      </c>
      <c r="L24" s="475">
        <f>'3_Levels 1&amp;2'!AT24</f>
        <v>2727515</v>
      </c>
      <c r="M24" s="476">
        <f>'3_Levels 1&amp;2'!C24</f>
        <v>803</v>
      </c>
      <c r="N24" s="472">
        <f t="shared" si="4"/>
        <v>803</v>
      </c>
      <c r="O24" s="477">
        <f t="shared" si="9"/>
        <v>3396.656288916563</v>
      </c>
      <c r="P24" s="478">
        <f t="shared" si="10"/>
        <v>0</v>
      </c>
      <c r="Q24" s="477"/>
      <c r="R24" s="477">
        <f t="shared" si="11"/>
        <v>0</v>
      </c>
      <c r="S24" s="478">
        <f t="shared" si="5"/>
        <v>0</v>
      </c>
    </row>
    <row r="25" spans="1:19" ht="15.6" customHeight="1" x14ac:dyDescent="0.2">
      <c r="A25" s="470">
        <v>19</v>
      </c>
      <c r="B25" s="471" t="s">
        <v>149</v>
      </c>
      <c r="C25" s="472">
        <v>0</v>
      </c>
      <c r="D25" s="473">
        <f>'3_Levels 1&amp;2'!AQ25</f>
        <v>5643.7211367673181</v>
      </c>
      <c r="E25" s="473">
        <f t="shared" si="6"/>
        <v>7429.305225236074</v>
      </c>
      <c r="F25" s="473">
        <f t="shared" si="7"/>
        <v>8899.6526170982688</v>
      </c>
      <c r="G25" s="474">
        <f t="shared" si="1"/>
        <v>0</v>
      </c>
      <c r="H25" s="473"/>
      <c r="I25" s="473">
        <f t="shared" si="2"/>
        <v>0</v>
      </c>
      <c r="J25" s="474">
        <f t="shared" si="3"/>
        <v>0</v>
      </c>
      <c r="K25" s="474">
        <f t="shared" si="8"/>
        <v>0</v>
      </c>
      <c r="L25" s="475">
        <f>'3_Levels 1&amp;2'!AT25</f>
        <v>7561689</v>
      </c>
      <c r="M25" s="476">
        <f>'3_Levels 1&amp;2'!C25</f>
        <v>1689</v>
      </c>
      <c r="N25" s="472">
        <f t="shared" si="4"/>
        <v>1689</v>
      </c>
      <c r="O25" s="477">
        <f t="shared" si="9"/>
        <v>4477.0213143872115</v>
      </c>
      <c r="P25" s="478">
        <f t="shared" si="10"/>
        <v>0</v>
      </c>
      <c r="Q25" s="477"/>
      <c r="R25" s="477">
        <f t="shared" si="11"/>
        <v>0</v>
      </c>
      <c r="S25" s="478">
        <f t="shared" si="5"/>
        <v>0</v>
      </c>
    </row>
    <row r="26" spans="1:19" ht="15.6" customHeight="1" x14ac:dyDescent="0.2">
      <c r="A26" s="479">
        <v>20</v>
      </c>
      <c r="B26" s="480" t="s">
        <v>150</v>
      </c>
      <c r="C26" s="481">
        <v>1.3668629999999999</v>
      </c>
      <c r="D26" s="482">
        <f>'3_Levels 1&amp;2'!AQ26</f>
        <v>6641.2895976803193</v>
      </c>
      <c r="E26" s="482">
        <f t="shared" si="6"/>
        <v>8742.4885664379344</v>
      </c>
      <c r="F26" s="482">
        <f t="shared" si="7"/>
        <v>10212.835958300129</v>
      </c>
      <c r="G26" s="483">
        <f t="shared" si="1"/>
        <v>13960</v>
      </c>
      <c r="H26" s="482"/>
      <c r="I26" s="482">
        <f t="shared" si="2"/>
        <v>13960</v>
      </c>
      <c r="J26" s="483">
        <f t="shared" si="3"/>
        <v>1163</v>
      </c>
      <c r="K26" s="483">
        <f t="shared" si="8"/>
        <v>13960</v>
      </c>
      <c r="L26" s="484">
        <f>'3_Levels 1&amp;2'!AT26</f>
        <v>15447989</v>
      </c>
      <c r="M26" s="485">
        <f>'3_Levels 1&amp;2'!C26</f>
        <v>5518</v>
      </c>
      <c r="N26" s="481">
        <f t="shared" si="4"/>
        <v>5519.3668630000002</v>
      </c>
      <c r="O26" s="486">
        <f t="shared" si="9"/>
        <v>2798.8697586960889</v>
      </c>
      <c r="P26" s="487">
        <f t="shared" si="10"/>
        <v>3826</v>
      </c>
      <c r="Q26" s="486"/>
      <c r="R26" s="486">
        <f t="shared" si="11"/>
        <v>3826</v>
      </c>
      <c r="S26" s="487">
        <f t="shared" si="5"/>
        <v>319</v>
      </c>
    </row>
    <row r="27" spans="1:19" ht="15.6" customHeight="1" x14ac:dyDescent="0.2">
      <c r="A27" s="461">
        <v>21</v>
      </c>
      <c r="B27" s="462" t="s">
        <v>151</v>
      </c>
      <c r="C27" s="463">
        <v>0</v>
      </c>
      <c r="D27" s="464">
        <f>'3_Levels 1&amp;2'!AQ27</f>
        <v>7136.7768595041325</v>
      </c>
      <c r="E27" s="464">
        <f t="shared" si="6"/>
        <v>9394.740159686231</v>
      </c>
      <c r="F27" s="464">
        <f t="shared" si="7"/>
        <v>10865.087551548426</v>
      </c>
      <c r="G27" s="465">
        <f t="shared" si="1"/>
        <v>0</v>
      </c>
      <c r="H27" s="464"/>
      <c r="I27" s="464">
        <f t="shared" si="2"/>
        <v>0</v>
      </c>
      <c r="J27" s="465">
        <f t="shared" si="3"/>
        <v>0</v>
      </c>
      <c r="K27" s="465">
        <f t="shared" si="8"/>
        <v>0</v>
      </c>
      <c r="L27" s="466">
        <f>'3_Levels 1&amp;2'!AT27</f>
        <v>8181730</v>
      </c>
      <c r="M27" s="467">
        <f>'3_Levels 1&amp;2'!C27</f>
        <v>2783</v>
      </c>
      <c r="N27" s="463">
        <f t="shared" si="4"/>
        <v>2783</v>
      </c>
      <c r="O27" s="468">
        <f t="shared" si="9"/>
        <v>2939.8957959037011</v>
      </c>
      <c r="P27" s="469">
        <f t="shared" si="10"/>
        <v>0</v>
      </c>
      <c r="Q27" s="468"/>
      <c r="R27" s="468">
        <f t="shared" si="11"/>
        <v>0</v>
      </c>
      <c r="S27" s="469">
        <f t="shared" si="5"/>
        <v>0</v>
      </c>
    </row>
    <row r="28" spans="1:19" ht="15.6" customHeight="1" x14ac:dyDescent="0.2">
      <c r="A28" s="470">
        <v>22</v>
      </c>
      <c r="B28" s="471" t="s">
        <v>152</v>
      </c>
      <c r="C28" s="472">
        <v>0</v>
      </c>
      <c r="D28" s="473">
        <f>'3_Levels 1&amp;2'!AQ28</f>
        <v>7751.5663247258581</v>
      </c>
      <c r="E28" s="473">
        <f t="shared" si="6"/>
        <v>10204.039286221045</v>
      </c>
      <c r="F28" s="473">
        <f t="shared" si="7"/>
        <v>11674.38667808324</v>
      </c>
      <c r="G28" s="474">
        <f t="shared" si="1"/>
        <v>0</v>
      </c>
      <c r="H28" s="473"/>
      <c r="I28" s="473">
        <f t="shared" si="2"/>
        <v>0</v>
      </c>
      <c r="J28" s="474">
        <f t="shared" si="3"/>
        <v>0</v>
      </c>
      <c r="K28" s="474">
        <f t="shared" si="8"/>
        <v>0</v>
      </c>
      <c r="L28" s="475">
        <f>'3_Levels 1&amp;2'!AT28</f>
        <v>6488999</v>
      </c>
      <c r="M28" s="476">
        <f>'3_Levels 1&amp;2'!C28</f>
        <v>2827</v>
      </c>
      <c r="N28" s="472">
        <f t="shared" si="4"/>
        <v>2827</v>
      </c>
      <c r="O28" s="477">
        <f t="shared" si="9"/>
        <v>2295.3657587548637</v>
      </c>
      <c r="P28" s="478">
        <f t="shared" si="10"/>
        <v>0</v>
      </c>
      <c r="Q28" s="477"/>
      <c r="R28" s="477">
        <f t="shared" si="11"/>
        <v>0</v>
      </c>
      <c r="S28" s="478">
        <f t="shared" si="5"/>
        <v>0</v>
      </c>
    </row>
    <row r="29" spans="1:19" ht="15.6" customHeight="1" x14ac:dyDescent="0.2">
      <c r="A29" s="470">
        <v>23</v>
      </c>
      <c r="B29" s="471" t="s">
        <v>153</v>
      </c>
      <c r="C29" s="472">
        <v>4.6153849999999998</v>
      </c>
      <c r="D29" s="473">
        <f>'3_Levels 1&amp;2'!AQ29</f>
        <v>6086.3476662677376</v>
      </c>
      <c r="E29" s="473">
        <f t="shared" si="6"/>
        <v>8011.9717866688297</v>
      </c>
      <c r="F29" s="473">
        <f t="shared" si="7"/>
        <v>9482.3191785310246</v>
      </c>
      <c r="G29" s="474">
        <f t="shared" si="1"/>
        <v>43765</v>
      </c>
      <c r="H29" s="473"/>
      <c r="I29" s="473">
        <f t="shared" si="2"/>
        <v>43765</v>
      </c>
      <c r="J29" s="474">
        <f t="shared" si="3"/>
        <v>3647</v>
      </c>
      <c r="K29" s="474">
        <f t="shared" si="8"/>
        <v>43765</v>
      </c>
      <c r="L29" s="475">
        <f>'3_Levels 1&amp;2'!AT29</f>
        <v>41211080.520000003</v>
      </c>
      <c r="M29" s="476">
        <f>'3_Levels 1&amp;2'!C29</f>
        <v>11698</v>
      </c>
      <c r="N29" s="472">
        <f t="shared" si="4"/>
        <v>11702.615384999999</v>
      </c>
      <c r="O29" s="477">
        <f t="shared" si="9"/>
        <v>3521.5273820605021</v>
      </c>
      <c r="P29" s="478">
        <f t="shared" si="10"/>
        <v>16253</v>
      </c>
      <c r="Q29" s="477"/>
      <c r="R29" s="477">
        <f t="shared" si="11"/>
        <v>16253</v>
      </c>
      <c r="S29" s="478">
        <f t="shared" si="5"/>
        <v>1354</v>
      </c>
    </row>
    <row r="30" spans="1:19" ht="15.6" customHeight="1" x14ac:dyDescent="0.2">
      <c r="A30" s="470">
        <v>24</v>
      </c>
      <c r="B30" s="471" t="s">
        <v>154</v>
      </c>
      <c r="C30" s="472">
        <v>0.224852</v>
      </c>
      <c r="D30" s="473">
        <f>'3_Levels 1&amp;2'!AQ30</f>
        <v>2843.1374940219989</v>
      </c>
      <c r="E30" s="473">
        <f t="shared" si="6"/>
        <v>3742.6612209442133</v>
      </c>
      <c r="F30" s="473">
        <f t="shared" si="7"/>
        <v>5213.0086128064086</v>
      </c>
      <c r="G30" s="474">
        <f t="shared" si="1"/>
        <v>1172</v>
      </c>
      <c r="H30" s="473"/>
      <c r="I30" s="473">
        <f t="shared" si="2"/>
        <v>1172</v>
      </c>
      <c r="J30" s="474">
        <f t="shared" si="3"/>
        <v>98</v>
      </c>
      <c r="K30" s="474">
        <f t="shared" si="8"/>
        <v>1172</v>
      </c>
      <c r="L30" s="475">
        <f>'3_Levels 1&amp;2'!AT30</f>
        <v>27226425.48</v>
      </c>
      <c r="M30" s="476">
        <f>'3_Levels 1&amp;2'!C30</f>
        <v>4182</v>
      </c>
      <c r="N30" s="472">
        <f t="shared" si="4"/>
        <v>4182.2248520000003</v>
      </c>
      <c r="O30" s="477">
        <f t="shared" si="9"/>
        <v>6510.0338799287492</v>
      </c>
      <c r="P30" s="478">
        <f t="shared" si="10"/>
        <v>1464</v>
      </c>
      <c r="Q30" s="477"/>
      <c r="R30" s="477">
        <f t="shared" si="11"/>
        <v>1464</v>
      </c>
      <c r="S30" s="478">
        <f t="shared" si="5"/>
        <v>122</v>
      </c>
    </row>
    <row r="31" spans="1:19" ht="15.6" customHeight="1" x14ac:dyDescent="0.2">
      <c r="A31" s="479">
        <v>25</v>
      </c>
      <c r="B31" s="480" t="s">
        <v>155</v>
      </c>
      <c r="C31" s="481">
        <v>0.40828399999999998</v>
      </c>
      <c r="D31" s="482">
        <f>'3_Levels 1&amp;2'!AQ31</f>
        <v>5898.0650444548428</v>
      </c>
      <c r="E31" s="482">
        <f t="shared" si="6"/>
        <v>7764.1195217964878</v>
      </c>
      <c r="F31" s="482">
        <f t="shared" si="7"/>
        <v>9234.4669136586817</v>
      </c>
      <c r="G31" s="483">
        <f t="shared" si="1"/>
        <v>3770</v>
      </c>
      <c r="H31" s="482"/>
      <c r="I31" s="482">
        <f t="shared" si="2"/>
        <v>3770</v>
      </c>
      <c r="J31" s="483">
        <f t="shared" si="3"/>
        <v>314</v>
      </c>
      <c r="K31" s="483">
        <f t="shared" si="8"/>
        <v>3770</v>
      </c>
      <c r="L31" s="484">
        <f>'3_Levels 1&amp;2'!AT31</f>
        <v>8703795.5600000005</v>
      </c>
      <c r="M31" s="485">
        <f>'3_Levels 1&amp;2'!C31</f>
        <v>2137</v>
      </c>
      <c r="N31" s="481">
        <f t="shared" si="4"/>
        <v>2137.4082840000001</v>
      </c>
      <c r="O31" s="486">
        <f t="shared" si="9"/>
        <v>4072.1258662437185</v>
      </c>
      <c r="P31" s="487">
        <f t="shared" si="10"/>
        <v>1663</v>
      </c>
      <c r="Q31" s="486"/>
      <c r="R31" s="486">
        <f t="shared" si="11"/>
        <v>1663</v>
      </c>
      <c r="S31" s="487">
        <f t="shared" si="5"/>
        <v>139</v>
      </c>
    </row>
    <row r="32" spans="1:19" ht="15.6" customHeight="1" x14ac:dyDescent="0.2">
      <c r="A32" s="461">
        <v>26</v>
      </c>
      <c r="B32" s="462" t="s">
        <v>156</v>
      </c>
      <c r="C32" s="463">
        <v>5.0887570000000002</v>
      </c>
      <c r="D32" s="464">
        <f>'3_Levels 1&amp;2'!AQ32</f>
        <v>4905.648300493599</v>
      </c>
      <c r="E32" s="464">
        <f t="shared" si="6"/>
        <v>6457.7178192938336</v>
      </c>
      <c r="F32" s="464">
        <f t="shared" si="7"/>
        <v>7928.0652111560285</v>
      </c>
      <c r="G32" s="465">
        <f t="shared" si="1"/>
        <v>40344</v>
      </c>
      <c r="H32" s="464"/>
      <c r="I32" s="464">
        <f t="shared" si="2"/>
        <v>40344</v>
      </c>
      <c r="J32" s="465">
        <f t="shared" si="3"/>
        <v>3362</v>
      </c>
      <c r="K32" s="465">
        <f t="shared" si="8"/>
        <v>40344</v>
      </c>
      <c r="L32" s="466">
        <f>'3_Levels 1&amp;2'!AT32</f>
        <v>226112584.66</v>
      </c>
      <c r="M32" s="467">
        <f>'3_Levels 1&amp;2'!C32</f>
        <v>49838</v>
      </c>
      <c r="N32" s="463">
        <f t="shared" si="4"/>
        <v>49843.088756999998</v>
      </c>
      <c r="O32" s="468">
        <f t="shared" si="9"/>
        <v>4536.4882132880375</v>
      </c>
      <c r="P32" s="469">
        <f t="shared" si="10"/>
        <v>23085</v>
      </c>
      <c r="Q32" s="468"/>
      <c r="R32" s="468">
        <f t="shared" si="11"/>
        <v>23085</v>
      </c>
      <c r="S32" s="469">
        <f t="shared" si="5"/>
        <v>1924</v>
      </c>
    </row>
    <row r="33" spans="1:19" ht="15.6" customHeight="1" x14ac:dyDescent="0.2">
      <c r="A33" s="470">
        <v>27</v>
      </c>
      <c r="B33" s="471" t="s">
        <v>157</v>
      </c>
      <c r="C33" s="472">
        <v>1.497042</v>
      </c>
      <c r="D33" s="473">
        <f>'3_Levels 1&amp;2'!AQ33</f>
        <v>6792.9734743090339</v>
      </c>
      <c r="E33" s="473">
        <f t="shared" si="6"/>
        <v>8942.1628221130213</v>
      </c>
      <c r="F33" s="473">
        <f t="shared" si="7"/>
        <v>10412.510213975216</v>
      </c>
      <c r="G33" s="474">
        <f t="shared" si="1"/>
        <v>15588</v>
      </c>
      <c r="H33" s="473"/>
      <c r="I33" s="473">
        <f t="shared" si="2"/>
        <v>15588</v>
      </c>
      <c r="J33" s="474">
        <f t="shared" si="3"/>
        <v>1299</v>
      </c>
      <c r="K33" s="474">
        <f t="shared" si="8"/>
        <v>15588</v>
      </c>
      <c r="L33" s="475">
        <f>'3_Levels 1&amp;2'!AT33</f>
        <v>17938729.420000002</v>
      </c>
      <c r="M33" s="476">
        <f>'3_Levels 1&amp;2'!C33</f>
        <v>5391</v>
      </c>
      <c r="N33" s="472">
        <f t="shared" si="4"/>
        <v>5392.497042</v>
      </c>
      <c r="O33" s="477">
        <f t="shared" si="9"/>
        <v>3326.6090422085394</v>
      </c>
      <c r="P33" s="478">
        <f t="shared" si="10"/>
        <v>4980</v>
      </c>
      <c r="Q33" s="477"/>
      <c r="R33" s="477">
        <f t="shared" si="11"/>
        <v>4980</v>
      </c>
      <c r="S33" s="478">
        <f t="shared" si="5"/>
        <v>415</v>
      </c>
    </row>
    <row r="34" spans="1:19" ht="15.6" customHeight="1" x14ac:dyDescent="0.2">
      <c r="A34" s="470">
        <v>28</v>
      </c>
      <c r="B34" s="471" t="s">
        <v>158</v>
      </c>
      <c r="C34" s="472">
        <v>9.5029570000000003</v>
      </c>
      <c r="D34" s="473">
        <f>'3_Levels 1&amp;2'!AQ34</f>
        <v>4534.8720538720536</v>
      </c>
      <c r="E34" s="473">
        <f t="shared" si="6"/>
        <v>5969.6338336281833</v>
      </c>
      <c r="F34" s="473">
        <f t="shared" si="7"/>
        <v>7439.9812254903782</v>
      </c>
      <c r="G34" s="474">
        <f t="shared" si="1"/>
        <v>70702</v>
      </c>
      <c r="H34" s="473"/>
      <c r="I34" s="473">
        <f t="shared" si="2"/>
        <v>70702</v>
      </c>
      <c r="J34" s="474">
        <f t="shared" si="3"/>
        <v>5892</v>
      </c>
      <c r="K34" s="474">
        <f t="shared" si="8"/>
        <v>70702</v>
      </c>
      <c r="L34" s="475">
        <f>'3_Levels 1&amp;2'!AT34</f>
        <v>137766678.08000001</v>
      </c>
      <c r="M34" s="476">
        <f>'3_Levels 1&amp;2'!C34</f>
        <v>33561</v>
      </c>
      <c r="N34" s="472">
        <f t="shared" si="4"/>
        <v>33570.502956999997</v>
      </c>
      <c r="O34" s="477">
        <f t="shared" si="9"/>
        <v>4103.8014311690085</v>
      </c>
      <c r="P34" s="478">
        <f t="shared" si="10"/>
        <v>38998</v>
      </c>
      <c r="Q34" s="477"/>
      <c r="R34" s="477">
        <f t="shared" si="11"/>
        <v>38998</v>
      </c>
      <c r="S34" s="478">
        <f t="shared" si="5"/>
        <v>3250</v>
      </c>
    </row>
    <row r="35" spans="1:19" ht="15.6" customHeight="1" x14ac:dyDescent="0.2">
      <c r="A35" s="470">
        <v>29</v>
      </c>
      <c r="B35" s="471" t="s">
        <v>159</v>
      </c>
      <c r="C35" s="472">
        <v>2.5088759999999999</v>
      </c>
      <c r="D35" s="473">
        <f>'3_Levels 1&amp;2'!AQ35</f>
        <v>5269.1248841685083</v>
      </c>
      <c r="E35" s="473">
        <f t="shared" si="6"/>
        <v>6936.1926441314263</v>
      </c>
      <c r="F35" s="473">
        <f t="shared" si="7"/>
        <v>8406.5400359936211</v>
      </c>
      <c r="G35" s="474">
        <f t="shared" si="1"/>
        <v>21091</v>
      </c>
      <c r="H35" s="473"/>
      <c r="I35" s="473">
        <f t="shared" si="2"/>
        <v>21091</v>
      </c>
      <c r="J35" s="474">
        <f t="shared" si="3"/>
        <v>1758</v>
      </c>
      <c r="K35" s="474">
        <f t="shared" si="8"/>
        <v>21091</v>
      </c>
      <c r="L35" s="475">
        <f>'3_Levels 1&amp;2'!AT35</f>
        <v>50990820.420000002</v>
      </c>
      <c r="M35" s="476">
        <f>'3_Levels 1&amp;2'!C35</f>
        <v>14029</v>
      </c>
      <c r="N35" s="472">
        <f t="shared" si="4"/>
        <v>14031.508876</v>
      </c>
      <c r="O35" s="477">
        <f t="shared" si="9"/>
        <v>3634.0226037426769</v>
      </c>
      <c r="P35" s="478">
        <f t="shared" si="10"/>
        <v>9117</v>
      </c>
      <c r="Q35" s="477"/>
      <c r="R35" s="477">
        <f t="shared" si="11"/>
        <v>9117</v>
      </c>
      <c r="S35" s="478">
        <f t="shared" si="5"/>
        <v>760</v>
      </c>
    </row>
    <row r="36" spans="1:19" ht="15.6" customHeight="1" x14ac:dyDescent="0.2">
      <c r="A36" s="479">
        <v>30</v>
      </c>
      <c r="B36" s="480" t="s">
        <v>160</v>
      </c>
      <c r="C36" s="481">
        <v>0</v>
      </c>
      <c r="D36" s="482">
        <f>'3_Levels 1&amp;2'!AQ36</f>
        <v>6843.2272354388842</v>
      </c>
      <c r="E36" s="482">
        <f t="shared" si="6"/>
        <v>9008.3160782896048</v>
      </c>
      <c r="F36" s="482">
        <f t="shared" si="7"/>
        <v>10478.6634701518</v>
      </c>
      <c r="G36" s="483">
        <f t="shared" si="1"/>
        <v>0</v>
      </c>
      <c r="H36" s="482"/>
      <c r="I36" s="482">
        <f t="shared" si="2"/>
        <v>0</v>
      </c>
      <c r="J36" s="483">
        <f t="shared" si="3"/>
        <v>0</v>
      </c>
      <c r="K36" s="483">
        <f t="shared" si="8"/>
        <v>0</v>
      </c>
      <c r="L36" s="484">
        <f>'3_Levels 1&amp;2'!AT36</f>
        <v>8076700.96</v>
      </c>
      <c r="M36" s="485">
        <f>'3_Levels 1&amp;2'!C36</f>
        <v>2438</v>
      </c>
      <c r="N36" s="481">
        <f t="shared" si="4"/>
        <v>2438</v>
      </c>
      <c r="O36" s="486">
        <f t="shared" si="9"/>
        <v>3312.8387858900737</v>
      </c>
      <c r="P36" s="487">
        <f t="shared" si="10"/>
        <v>0</v>
      </c>
      <c r="Q36" s="486"/>
      <c r="R36" s="486">
        <f t="shared" si="11"/>
        <v>0</v>
      </c>
      <c r="S36" s="487">
        <f t="shared" si="5"/>
        <v>0</v>
      </c>
    </row>
    <row r="37" spans="1:19" ht="15.6" customHeight="1" x14ac:dyDescent="0.2">
      <c r="A37" s="461">
        <v>31</v>
      </c>
      <c r="B37" s="462" t="s">
        <v>161</v>
      </c>
      <c r="C37" s="463">
        <v>0.15976299999999999</v>
      </c>
      <c r="D37" s="464">
        <f>'3_Levels 1&amp;2'!AQ37</f>
        <v>5415.9198686371101</v>
      </c>
      <c r="E37" s="464">
        <f t="shared" si="6"/>
        <v>7129.4312395053485</v>
      </c>
      <c r="F37" s="464">
        <f t="shared" si="7"/>
        <v>8599.7786313675424</v>
      </c>
      <c r="G37" s="465">
        <f t="shared" si="1"/>
        <v>1374</v>
      </c>
      <c r="H37" s="464"/>
      <c r="I37" s="464">
        <f t="shared" si="2"/>
        <v>1374</v>
      </c>
      <c r="J37" s="465">
        <f t="shared" si="3"/>
        <v>115</v>
      </c>
      <c r="K37" s="465">
        <f t="shared" si="8"/>
        <v>1374</v>
      </c>
      <c r="L37" s="466">
        <f>'3_Levels 1&amp;2'!AT37</f>
        <v>25850857.68</v>
      </c>
      <c r="M37" s="467">
        <f>'3_Levels 1&amp;2'!C37</f>
        <v>6090</v>
      </c>
      <c r="N37" s="463">
        <f t="shared" si="4"/>
        <v>6090.1597629999997</v>
      </c>
      <c r="O37" s="468">
        <f t="shared" si="9"/>
        <v>4244.6928629120102</v>
      </c>
      <c r="P37" s="469">
        <f t="shared" si="10"/>
        <v>678</v>
      </c>
      <c r="Q37" s="468"/>
      <c r="R37" s="468">
        <f t="shared" si="11"/>
        <v>678</v>
      </c>
      <c r="S37" s="469">
        <f t="shared" si="5"/>
        <v>57</v>
      </c>
    </row>
    <row r="38" spans="1:19" ht="15.6" customHeight="1" x14ac:dyDescent="0.2">
      <c r="A38" s="470">
        <v>32</v>
      </c>
      <c r="B38" s="471" t="s">
        <v>162</v>
      </c>
      <c r="C38" s="472">
        <v>0</v>
      </c>
      <c r="D38" s="473">
        <f>'3_Levels 1&amp;2'!AQ38</f>
        <v>6656.9061881668285</v>
      </c>
      <c r="E38" s="473">
        <f t="shared" si="6"/>
        <v>8763.0459991122661</v>
      </c>
      <c r="F38" s="473">
        <f t="shared" si="7"/>
        <v>10233.393390974461</v>
      </c>
      <c r="G38" s="474">
        <f t="shared" si="1"/>
        <v>0</v>
      </c>
      <c r="H38" s="473"/>
      <c r="I38" s="473">
        <f t="shared" si="2"/>
        <v>0</v>
      </c>
      <c r="J38" s="474">
        <f t="shared" si="3"/>
        <v>0</v>
      </c>
      <c r="K38" s="474">
        <f t="shared" si="8"/>
        <v>0</v>
      </c>
      <c r="L38" s="475">
        <f>'3_Levels 1&amp;2'!AT38</f>
        <v>73201563</v>
      </c>
      <c r="M38" s="476">
        <f>'3_Levels 1&amp;2'!C38</f>
        <v>25775</v>
      </c>
      <c r="N38" s="472">
        <f t="shared" si="4"/>
        <v>25775</v>
      </c>
      <c r="O38" s="477">
        <f t="shared" si="9"/>
        <v>2840.0218428709991</v>
      </c>
      <c r="P38" s="478">
        <f t="shared" si="10"/>
        <v>0</v>
      </c>
      <c r="Q38" s="477"/>
      <c r="R38" s="477">
        <f t="shared" si="11"/>
        <v>0</v>
      </c>
      <c r="S38" s="478">
        <f t="shared" si="5"/>
        <v>0</v>
      </c>
    </row>
    <row r="39" spans="1:19" ht="15.6" customHeight="1" x14ac:dyDescent="0.2">
      <c r="A39" s="470">
        <v>33</v>
      </c>
      <c r="B39" s="471" t="s">
        <v>163</v>
      </c>
      <c r="C39" s="472">
        <v>1.2662720000000001</v>
      </c>
      <c r="D39" s="473">
        <f>'3_Levels 1&amp;2'!AQ39</f>
        <v>6601.3281133482478</v>
      </c>
      <c r="E39" s="473">
        <f t="shared" si="6"/>
        <v>8689.8839006222697</v>
      </c>
      <c r="F39" s="473">
        <f t="shared" si="7"/>
        <v>10160.231292484465</v>
      </c>
      <c r="G39" s="474">
        <f t="shared" si="1"/>
        <v>12866</v>
      </c>
      <c r="H39" s="473"/>
      <c r="I39" s="473">
        <f t="shared" si="2"/>
        <v>12866</v>
      </c>
      <c r="J39" s="474">
        <f t="shared" si="3"/>
        <v>1072</v>
      </c>
      <c r="K39" s="474">
        <f t="shared" si="8"/>
        <v>12866</v>
      </c>
      <c r="L39" s="475">
        <f>'3_Levels 1&amp;2'!AT39</f>
        <v>5713115.5</v>
      </c>
      <c r="M39" s="476">
        <f>'3_Levels 1&amp;2'!C39</f>
        <v>1341</v>
      </c>
      <c r="N39" s="472">
        <f t="shared" si="4"/>
        <v>1342.2662720000001</v>
      </c>
      <c r="O39" s="477">
        <f t="shared" si="9"/>
        <v>4256.3205372711618</v>
      </c>
      <c r="P39" s="478">
        <f t="shared" si="10"/>
        <v>5390</v>
      </c>
      <c r="Q39" s="477"/>
      <c r="R39" s="477">
        <f t="shared" si="11"/>
        <v>5390</v>
      </c>
      <c r="S39" s="478">
        <f t="shared" si="5"/>
        <v>449</v>
      </c>
    </row>
    <row r="40" spans="1:19" ht="15.6" customHeight="1" x14ac:dyDescent="0.2">
      <c r="A40" s="470">
        <v>34</v>
      </c>
      <c r="B40" s="471" t="s">
        <v>164</v>
      </c>
      <c r="C40" s="472">
        <v>2.147929</v>
      </c>
      <c r="D40" s="473">
        <f>'3_Levels 1&amp;2'!AQ40</f>
        <v>7161.6014362657088</v>
      </c>
      <c r="E40" s="473">
        <f t="shared" si="6"/>
        <v>9427.4188398300012</v>
      </c>
      <c r="F40" s="473">
        <f t="shared" si="7"/>
        <v>10897.766231692196</v>
      </c>
      <c r="G40" s="474">
        <f t="shared" si="1"/>
        <v>23408</v>
      </c>
      <c r="H40" s="473"/>
      <c r="I40" s="473">
        <f t="shared" si="2"/>
        <v>23408</v>
      </c>
      <c r="J40" s="474">
        <f t="shared" si="3"/>
        <v>1951</v>
      </c>
      <c r="K40" s="474">
        <f t="shared" si="8"/>
        <v>23408</v>
      </c>
      <c r="L40" s="475">
        <f>'3_Levels 1&amp;2'!AT40</f>
        <v>12032038.1</v>
      </c>
      <c r="M40" s="476">
        <f>'3_Levels 1&amp;2'!C40</f>
        <v>3342</v>
      </c>
      <c r="N40" s="472">
        <f t="shared" si="4"/>
        <v>3344.1479290000002</v>
      </c>
      <c r="O40" s="477">
        <f t="shared" si="9"/>
        <v>3597.9383554357109</v>
      </c>
      <c r="P40" s="478">
        <f t="shared" si="10"/>
        <v>7728</v>
      </c>
      <c r="Q40" s="477"/>
      <c r="R40" s="477">
        <f t="shared" si="11"/>
        <v>7728</v>
      </c>
      <c r="S40" s="478">
        <f t="shared" si="5"/>
        <v>644</v>
      </c>
    </row>
    <row r="41" spans="1:19" ht="15.6" customHeight="1" x14ac:dyDescent="0.2">
      <c r="A41" s="479">
        <v>35</v>
      </c>
      <c r="B41" s="480" t="s">
        <v>165</v>
      </c>
      <c r="C41" s="481">
        <v>0.51479299999999995</v>
      </c>
      <c r="D41" s="482">
        <f>'3_Levels 1&amp;2'!AQ41</f>
        <v>5612.7857670979665</v>
      </c>
      <c r="E41" s="482">
        <f t="shared" si="6"/>
        <v>7388.5823939764186</v>
      </c>
      <c r="F41" s="482">
        <f t="shared" si="7"/>
        <v>8858.9297858386126</v>
      </c>
      <c r="G41" s="483">
        <f t="shared" si="1"/>
        <v>4561</v>
      </c>
      <c r="H41" s="482"/>
      <c r="I41" s="482">
        <f t="shared" si="2"/>
        <v>4561</v>
      </c>
      <c r="J41" s="483">
        <f t="shared" si="3"/>
        <v>380</v>
      </c>
      <c r="K41" s="483">
        <f t="shared" si="8"/>
        <v>4561</v>
      </c>
      <c r="L41" s="484">
        <f>'3_Levels 1&amp;2'!AT41</f>
        <v>21028442.559999999</v>
      </c>
      <c r="M41" s="485">
        <f>'3_Levels 1&amp;2'!C41</f>
        <v>5410</v>
      </c>
      <c r="N41" s="481">
        <f t="shared" si="4"/>
        <v>5410.5147930000003</v>
      </c>
      <c r="O41" s="486">
        <f t="shared" si="9"/>
        <v>3886.5881278443439</v>
      </c>
      <c r="P41" s="487">
        <f t="shared" si="10"/>
        <v>2001</v>
      </c>
      <c r="Q41" s="486"/>
      <c r="R41" s="486">
        <f t="shared" si="11"/>
        <v>2001</v>
      </c>
      <c r="S41" s="487">
        <f t="shared" si="5"/>
        <v>167</v>
      </c>
    </row>
    <row r="42" spans="1:19" ht="15.6" customHeight="1" x14ac:dyDescent="0.2">
      <c r="A42" s="461">
        <v>36</v>
      </c>
      <c r="B42" s="462" t="s">
        <v>166</v>
      </c>
      <c r="C42" s="463">
        <v>25.461538000000001</v>
      </c>
      <c r="D42" s="464">
        <f>'3_Levels 1&amp;2'!AQ42</f>
        <v>4489.0518380743979</v>
      </c>
      <c r="E42" s="464">
        <f t="shared" si="6"/>
        <v>5909.3168263917214</v>
      </c>
      <c r="F42" s="464">
        <f t="shared" si="7"/>
        <v>7379.6642182539163</v>
      </c>
      <c r="G42" s="465">
        <f t="shared" si="1"/>
        <v>187898</v>
      </c>
      <c r="H42" s="464"/>
      <c r="I42" s="464">
        <f t="shared" si="2"/>
        <v>187898</v>
      </c>
      <c r="J42" s="465">
        <f t="shared" si="3"/>
        <v>15658</v>
      </c>
      <c r="K42" s="465">
        <f t="shared" si="8"/>
        <v>187898</v>
      </c>
      <c r="L42" s="466">
        <f>'3_Levels 1&amp;2'!AT42</f>
        <v>214996372.80000001</v>
      </c>
      <c r="M42" s="467">
        <f>'3_Levels 1&amp;2'!C42</f>
        <v>45700</v>
      </c>
      <c r="N42" s="463">
        <f t="shared" si="4"/>
        <v>45725.461538000003</v>
      </c>
      <c r="O42" s="468">
        <f t="shared" si="9"/>
        <v>4701.8961770637998</v>
      </c>
      <c r="P42" s="469">
        <f t="shared" si="10"/>
        <v>119718</v>
      </c>
      <c r="Q42" s="468"/>
      <c r="R42" s="468">
        <f t="shared" si="11"/>
        <v>119718</v>
      </c>
      <c r="S42" s="469">
        <f t="shared" si="5"/>
        <v>9977</v>
      </c>
    </row>
    <row r="43" spans="1:19" ht="15.6" customHeight="1" x14ac:dyDescent="0.2">
      <c r="A43" s="470">
        <v>37</v>
      </c>
      <c r="B43" s="471" t="s">
        <v>167</v>
      </c>
      <c r="C43" s="472">
        <v>4.9822480000000002</v>
      </c>
      <c r="D43" s="473">
        <f>'3_Levels 1&amp;2'!AQ43</f>
        <v>6448.1300606729183</v>
      </c>
      <c r="E43" s="473">
        <f t="shared" si="6"/>
        <v>8488.2164075524852</v>
      </c>
      <c r="F43" s="473">
        <f t="shared" si="7"/>
        <v>9958.56379941468</v>
      </c>
      <c r="G43" s="474">
        <f t="shared" si="1"/>
        <v>49616</v>
      </c>
      <c r="H43" s="473"/>
      <c r="I43" s="473">
        <f t="shared" si="2"/>
        <v>49616</v>
      </c>
      <c r="J43" s="474">
        <f t="shared" si="3"/>
        <v>4135</v>
      </c>
      <c r="K43" s="474">
        <f t="shared" si="8"/>
        <v>49616</v>
      </c>
      <c r="L43" s="475">
        <f>'3_Levels 1&amp;2'!AT43</f>
        <v>57368006.799999997</v>
      </c>
      <c r="M43" s="476">
        <f>'3_Levels 1&amp;2'!C43</f>
        <v>18130</v>
      </c>
      <c r="N43" s="472">
        <f t="shared" si="4"/>
        <v>18134.982248</v>
      </c>
      <c r="O43" s="477">
        <f t="shared" si="9"/>
        <v>3163.3891897703279</v>
      </c>
      <c r="P43" s="478">
        <f t="shared" si="10"/>
        <v>15761</v>
      </c>
      <c r="Q43" s="477"/>
      <c r="R43" s="477">
        <f t="shared" si="11"/>
        <v>15761</v>
      </c>
      <c r="S43" s="478">
        <f t="shared" si="5"/>
        <v>1313</v>
      </c>
    </row>
    <row r="44" spans="1:19" ht="15.6" customHeight="1" x14ac:dyDescent="0.2">
      <c r="A44" s="470">
        <v>38</v>
      </c>
      <c r="B44" s="471" t="s">
        <v>168</v>
      </c>
      <c r="C44" s="472">
        <v>0</v>
      </c>
      <c r="D44" s="473">
        <f>'3_Levels 1&amp;2'!AQ44</f>
        <v>2817.026274303731</v>
      </c>
      <c r="E44" s="473">
        <f t="shared" si="6"/>
        <v>3708.2888243659286</v>
      </c>
      <c r="F44" s="473">
        <f t="shared" si="7"/>
        <v>5178.6362162281239</v>
      </c>
      <c r="G44" s="474">
        <f t="shared" si="1"/>
        <v>0</v>
      </c>
      <c r="H44" s="473"/>
      <c r="I44" s="473">
        <f t="shared" si="2"/>
        <v>0</v>
      </c>
      <c r="J44" s="474">
        <f t="shared" si="3"/>
        <v>0</v>
      </c>
      <c r="K44" s="474">
        <f t="shared" si="8"/>
        <v>0</v>
      </c>
      <c r="L44" s="475">
        <f>'3_Levels 1&amp;2'!AT44</f>
        <v>25829958.059999999</v>
      </c>
      <c r="M44" s="476">
        <f>'3_Levels 1&amp;2'!C44</f>
        <v>3806</v>
      </c>
      <c r="N44" s="472">
        <f t="shared" si="4"/>
        <v>3806</v>
      </c>
      <c r="O44" s="477">
        <f t="shared" si="9"/>
        <v>6786.6416342616922</v>
      </c>
      <c r="P44" s="478">
        <f t="shared" si="10"/>
        <v>0</v>
      </c>
      <c r="Q44" s="477"/>
      <c r="R44" s="477">
        <f t="shared" si="11"/>
        <v>0</v>
      </c>
      <c r="S44" s="478">
        <f t="shared" si="5"/>
        <v>0</v>
      </c>
    </row>
    <row r="45" spans="1:19" ht="15.6" customHeight="1" x14ac:dyDescent="0.2">
      <c r="A45" s="470">
        <v>39</v>
      </c>
      <c r="B45" s="471" t="s">
        <v>169</v>
      </c>
      <c r="C45" s="472">
        <v>1.43787</v>
      </c>
      <c r="D45" s="473">
        <f>'3_Levels 1&amp;2'!AQ45</f>
        <v>3901.548751950078</v>
      </c>
      <c r="E45" s="473">
        <f t="shared" si="6"/>
        <v>5135.9370576517977</v>
      </c>
      <c r="F45" s="473">
        <f t="shared" si="7"/>
        <v>6606.2844495139925</v>
      </c>
      <c r="G45" s="474">
        <f t="shared" si="1"/>
        <v>9499</v>
      </c>
      <c r="H45" s="473"/>
      <c r="I45" s="473">
        <f t="shared" si="2"/>
        <v>9499</v>
      </c>
      <c r="J45" s="474">
        <f t="shared" si="3"/>
        <v>792</v>
      </c>
      <c r="K45" s="474">
        <f t="shared" si="8"/>
        <v>9499</v>
      </c>
      <c r="L45" s="475">
        <f>'3_Levels 1&amp;2'!AT45</f>
        <v>15165800.720000001</v>
      </c>
      <c r="M45" s="476">
        <f>'3_Levels 1&amp;2'!C45</f>
        <v>2564</v>
      </c>
      <c r="N45" s="472">
        <f t="shared" si="4"/>
        <v>2565.4378700000002</v>
      </c>
      <c r="O45" s="477">
        <f t="shared" si="9"/>
        <v>5911.5837094897179</v>
      </c>
      <c r="P45" s="478">
        <f t="shared" si="10"/>
        <v>8500</v>
      </c>
      <c r="Q45" s="477"/>
      <c r="R45" s="477">
        <f t="shared" si="11"/>
        <v>8500</v>
      </c>
      <c r="S45" s="478">
        <f t="shared" si="5"/>
        <v>708</v>
      </c>
    </row>
    <row r="46" spans="1:19" ht="15.6" customHeight="1" x14ac:dyDescent="0.2">
      <c r="A46" s="479">
        <v>40</v>
      </c>
      <c r="B46" s="480" t="s">
        <v>170</v>
      </c>
      <c r="C46" s="481">
        <v>2.2781069999999999</v>
      </c>
      <c r="D46" s="482">
        <f>'3_Levels 1&amp;2'!AQ46</f>
        <v>6119.4024635848436</v>
      </c>
      <c r="E46" s="482">
        <f t="shared" si="6"/>
        <v>8055.4845989563191</v>
      </c>
      <c r="F46" s="482">
        <f t="shared" si="7"/>
        <v>9525.8319908185149</v>
      </c>
      <c r="G46" s="483">
        <f t="shared" si="1"/>
        <v>21701</v>
      </c>
      <c r="H46" s="482"/>
      <c r="I46" s="482">
        <f t="shared" si="2"/>
        <v>21701</v>
      </c>
      <c r="J46" s="483">
        <f t="shared" si="3"/>
        <v>1808</v>
      </c>
      <c r="K46" s="483">
        <f t="shared" si="8"/>
        <v>21701</v>
      </c>
      <c r="L46" s="484">
        <f>'3_Levels 1&amp;2'!AT46</f>
        <v>73629113.379999995</v>
      </c>
      <c r="M46" s="485">
        <f>'3_Levels 1&amp;2'!C46</f>
        <v>21351</v>
      </c>
      <c r="N46" s="481">
        <f t="shared" si="4"/>
        <v>21353.278106999998</v>
      </c>
      <c r="O46" s="486">
        <f t="shared" si="9"/>
        <v>3448.1409838362483</v>
      </c>
      <c r="P46" s="487">
        <f t="shared" si="10"/>
        <v>7855</v>
      </c>
      <c r="Q46" s="486"/>
      <c r="R46" s="486">
        <f t="shared" si="11"/>
        <v>7855</v>
      </c>
      <c r="S46" s="487">
        <f t="shared" si="5"/>
        <v>655</v>
      </c>
    </row>
    <row r="47" spans="1:19" ht="15.6" customHeight="1" x14ac:dyDescent="0.2">
      <c r="A47" s="461">
        <v>41</v>
      </c>
      <c r="B47" s="462" t="s">
        <v>171</v>
      </c>
      <c r="C47" s="463">
        <v>0</v>
      </c>
      <c r="D47" s="464">
        <f>'3_Levels 1&amp;2'!AQ47</f>
        <v>3489.129109863673</v>
      </c>
      <c r="E47" s="464">
        <f t="shared" si="6"/>
        <v>4593.0343649617844</v>
      </c>
      <c r="F47" s="464">
        <f t="shared" si="7"/>
        <v>6063.3817568239792</v>
      </c>
      <c r="G47" s="465">
        <f t="shared" si="1"/>
        <v>0</v>
      </c>
      <c r="H47" s="464"/>
      <c r="I47" s="464">
        <f t="shared" si="2"/>
        <v>0</v>
      </c>
      <c r="J47" s="465">
        <f t="shared" si="3"/>
        <v>0</v>
      </c>
      <c r="K47" s="465">
        <f t="shared" si="8"/>
        <v>0</v>
      </c>
      <c r="L47" s="466">
        <f>'3_Levels 1&amp;2'!AT47</f>
        <v>7666168.4400000004</v>
      </c>
      <c r="M47" s="467">
        <f>'3_Levels 1&amp;2'!C47</f>
        <v>1247</v>
      </c>
      <c r="N47" s="463">
        <f t="shared" si="4"/>
        <v>1247</v>
      </c>
      <c r="O47" s="468">
        <f t="shared" si="9"/>
        <v>6147.6892060946275</v>
      </c>
      <c r="P47" s="469">
        <f t="shared" si="10"/>
        <v>0</v>
      </c>
      <c r="Q47" s="468"/>
      <c r="R47" s="468">
        <f t="shared" si="11"/>
        <v>0</v>
      </c>
      <c r="S47" s="469">
        <f t="shared" si="5"/>
        <v>0</v>
      </c>
    </row>
    <row r="48" spans="1:19" ht="15.6" customHeight="1" x14ac:dyDescent="0.2">
      <c r="A48" s="470">
        <v>42</v>
      </c>
      <c r="B48" s="471" t="s">
        <v>172</v>
      </c>
      <c r="C48" s="472">
        <v>1.6745570000000001</v>
      </c>
      <c r="D48" s="473">
        <f>'3_Levels 1&amp;2'!AQ48</f>
        <v>5909.2871985157699</v>
      </c>
      <c r="E48" s="473">
        <f t="shared" si="6"/>
        <v>7778.8921878766914</v>
      </c>
      <c r="F48" s="473">
        <f t="shared" si="7"/>
        <v>9249.2395797388854</v>
      </c>
      <c r="G48" s="474">
        <f t="shared" si="1"/>
        <v>15488</v>
      </c>
      <c r="H48" s="473"/>
      <c r="I48" s="473">
        <f t="shared" si="2"/>
        <v>15488</v>
      </c>
      <c r="J48" s="474">
        <f t="shared" si="3"/>
        <v>1291</v>
      </c>
      <c r="K48" s="474">
        <f t="shared" si="8"/>
        <v>15488</v>
      </c>
      <c r="L48" s="475">
        <f>'3_Levels 1&amp;2'!AT48</f>
        <v>11232248.619999999</v>
      </c>
      <c r="M48" s="476">
        <f>'3_Levels 1&amp;2'!C48</f>
        <v>2695</v>
      </c>
      <c r="N48" s="472">
        <f t="shared" si="4"/>
        <v>2696.6745569999998</v>
      </c>
      <c r="O48" s="477">
        <f t="shared" si="9"/>
        <v>4165.2221588413195</v>
      </c>
      <c r="P48" s="478">
        <f t="shared" si="10"/>
        <v>6975</v>
      </c>
      <c r="Q48" s="477"/>
      <c r="R48" s="477">
        <f t="shared" si="11"/>
        <v>6975</v>
      </c>
      <c r="S48" s="478">
        <f t="shared" si="5"/>
        <v>581</v>
      </c>
    </row>
    <row r="49" spans="1:19" ht="15.6" customHeight="1" x14ac:dyDescent="0.2">
      <c r="A49" s="470">
        <v>43</v>
      </c>
      <c r="B49" s="471" t="s">
        <v>173</v>
      </c>
      <c r="C49" s="472">
        <v>0</v>
      </c>
      <c r="D49" s="473">
        <f>'3_Levels 1&amp;2'!AQ49</f>
        <v>6229.9299136617574</v>
      </c>
      <c r="E49" s="473">
        <f t="shared" si="6"/>
        <v>8200.9811857807308</v>
      </c>
      <c r="F49" s="473">
        <f t="shared" si="7"/>
        <v>9671.3285776429257</v>
      </c>
      <c r="G49" s="474">
        <f t="shared" si="1"/>
        <v>0</v>
      </c>
      <c r="H49" s="473"/>
      <c r="I49" s="473">
        <f t="shared" si="2"/>
        <v>0</v>
      </c>
      <c r="J49" s="474">
        <f t="shared" si="3"/>
        <v>0</v>
      </c>
      <c r="K49" s="474">
        <f t="shared" si="8"/>
        <v>0</v>
      </c>
      <c r="L49" s="475">
        <f>'3_Levels 1&amp;2'!AT49</f>
        <v>14778787.32</v>
      </c>
      <c r="M49" s="476">
        <f>'3_Levels 1&amp;2'!C49</f>
        <v>3938</v>
      </c>
      <c r="N49" s="472">
        <f t="shared" si="4"/>
        <v>3938</v>
      </c>
      <c r="O49" s="477">
        <f t="shared" si="9"/>
        <v>3752.8662569832404</v>
      </c>
      <c r="P49" s="478">
        <f t="shared" si="10"/>
        <v>0</v>
      </c>
      <c r="Q49" s="477"/>
      <c r="R49" s="477">
        <f t="shared" si="11"/>
        <v>0</v>
      </c>
      <c r="S49" s="478">
        <f t="shared" si="5"/>
        <v>0</v>
      </c>
    </row>
    <row r="50" spans="1:19" ht="15.6" customHeight="1" x14ac:dyDescent="0.2">
      <c r="A50" s="470">
        <v>44</v>
      </c>
      <c r="B50" s="471" t="s">
        <v>174</v>
      </c>
      <c r="C50" s="472">
        <v>2.5384600000000002</v>
      </c>
      <c r="D50" s="473">
        <f>'3_Levels 1&amp;2'!AQ50</f>
        <v>6016.1966284735945</v>
      </c>
      <c r="E50" s="473">
        <f t="shared" si="6"/>
        <v>7919.6260702505506</v>
      </c>
      <c r="F50" s="473">
        <f t="shared" si="7"/>
        <v>9389.9734621127463</v>
      </c>
      <c r="G50" s="474">
        <f t="shared" si="1"/>
        <v>23836</v>
      </c>
      <c r="H50" s="473"/>
      <c r="I50" s="473">
        <f t="shared" si="2"/>
        <v>23836</v>
      </c>
      <c r="J50" s="474">
        <f t="shared" si="3"/>
        <v>1986</v>
      </c>
      <c r="K50" s="474">
        <f t="shared" si="8"/>
        <v>23836</v>
      </c>
      <c r="L50" s="475">
        <f>'3_Levels 1&amp;2'!AT50</f>
        <v>25557354.239999998</v>
      </c>
      <c r="M50" s="476">
        <f>'3_Levels 1&amp;2'!C50</f>
        <v>7593</v>
      </c>
      <c r="N50" s="472">
        <f t="shared" si="4"/>
        <v>7595.5384599999998</v>
      </c>
      <c r="O50" s="477">
        <f t="shared" si="9"/>
        <v>3364.785047773953</v>
      </c>
      <c r="P50" s="478">
        <f t="shared" si="10"/>
        <v>8541</v>
      </c>
      <c r="Q50" s="477"/>
      <c r="R50" s="477">
        <f t="shared" si="11"/>
        <v>8541</v>
      </c>
      <c r="S50" s="478">
        <f t="shared" si="5"/>
        <v>712</v>
      </c>
    </row>
    <row r="51" spans="1:19" ht="15.6" customHeight="1" x14ac:dyDescent="0.2">
      <c r="A51" s="479">
        <v>45</v>
      </c>
      <c r="B51" s="480" t="s">
        <v>175</v>
      </c>
      <c r="C51" s="481">
        <v>0</v>
      </c>
      <c r="D51" s="482">
        <f>'3_Levels 1&amp;2'!AQ51</f>
        <v>2910.2130709166754</v>
      </c>
      <c r="E51" s="482">
        <f t="shared" si="6"/>
        <v>3830.958449285793</v>
      </c>
      <c r="F51" s="482">
        <f t="shared" si="7"/>
        <v>5301.3058411479878</v>
      </c>
      <c r="G51" s="483">
        <f t="shared" si="1"/>
        <v>0</v>
      </c>
      <c r="H51" s="482"/>
      <c r="I51" s="482">
        <f t="shared" si="2"/>
        <v>0</v>
      </c>
      <c r="J51" s="483">
        <f t="shared" si="3"/>
        <v>0</v>
      </c>
      <c r="K51" s="483">
        <f t="shared" si="8"/>
        <v>0</v>
      </c>
      <c r="L51" s="484">
        <f>'3_Levels 1&amp;2'!AT51</f>
        <v>53133003.299999997</v>
      </c>
      <c r="M51" s="485">
        <f>'3_Levels 1&amp;2'!C51</f>
        <v>9349</v>
      </c>
      <c r="N51" s="481">
        <f t="shared" si="4"/>
        <v>9349</v>
      </c>
      <c r="O51" s="486">
        <f t="shared" si="9"/>
        <v>5683.2819873783292</v>
      </c>
      <c r="P51" s="487">
        <f t="shared" si="10"/>
        <v>0</v>
      </c>
      <c r="Q51" s="486"/>
      <c r="R51" s="486">
        <f t="shared" si="11"/>
        <v>0</v>
      </c>
      <c r="S51" s="487">
        <f t="shared" si="5"/>
        <v>0</v>
      </c>
    </row>
    <row r="52" spans="1:19" ht="15.6" customHeight="1" x14ac:dyDescent="0.2">
      <c r="A52" s="461">
        <v>46</v>
      </c>
      <c r="B52" s="462" t="s">
        <v>176</v>
      </c>
      <c r="C52" s="463">
        <v>0</v>
      </c>
      <c r="D52" s="464">
        <f>'3_Levels 1&amp;2'!AQ52</f>
        <v>8333.8022260273974</v>
      </c>
      <c r="E52" s="464">
        <f t="shared" si="6"/>
        <v>10970.485416182957</v>
      </c>
      <c r="F52" s="464">
        <f t="shared" si="7"/>
        <v>12440.832808045152</v>
      </c>
      <c r="G52" s="465">
        <f t="shared" si="1"/>
        <v>0</v>
      </c>
      <c r="H52" s="464"/>
      <c r="I52" s="464">
        <f t="shared" si="2"/>
        <v>0</v>
      </c>
      <c r="J52" s="465">
        <f t="shared" si="3"/>
        <v>0</v>
      </c>
      <c r="K52" s="465">
        <f t="shared" si="8"/>
        <v>0</v>
      </c>
      <c r="L52" s="466">
        <f>'3_Levels 1&amp;2'!AT52</f>
        <v>3710118</v>
      </c>
      <c r="M52" s="467">
        <f>'3_Levels 1&amp;2'!C52</f>
        <v>1168</v>
      </c>
      <c r="N52" s="463">
        <f t="shared" si="4"/>
        <v>1168</v>
      </c>
      <c r="O52" s="468">
        <f t="shared" si="9"/>
        <v>3176.4708904109589</v>
      </c>
      <c r="P52" s="469">
        <f t="shared" si="10"/>
        <v>0</v>
      </c>
      <c r="Q52" s="468"/>
      <c r="R52" s="468">
        <f t="shared" si="11"/>
        <v>0</v>
      </c>
      <c r="S52" s="469">
        <f t="shared" si="5"/>
        <v>0</v>
      </c>
    </row>
    <row r="53" spans="1:19" ht="15.6" customHeight="1" x14ac:dyDescent="0.2">
      <c r="A53" s="470">
        <v>47</v>
      </c>
      <c r="B53" s="471" t="s">
        <v>177</v>
      </c>
      <c r="C53" s="472">
        <v>0</v>
      </c>
      <c r="D53" s="473">
        <f>'3_Levels 1&amp;2'!AQ53</f>
        <v>2870.8077952990179</v>
      </c>
      <c r="E53" s="473">
        <f t="shared" si="6"/>
        <v>3779.0859678230008</v>
      </c>
      <c r="F53" s="473">
        <f t="shared" si="7"/>
        <v>5249.4333596851957</v>
      </c>
      <c r="G53" s="474">
        <f t="shared" si="1"/>
        <v>0</v>
      </c>
      <c r="H53" s="473"/>
      <c r="I53" s="473">
        <f t="shared" si="2"/>
        <v>0</v>
      </c>
      <c r="J53" s="474">
        <f t="shared" si="3"/>
        <v>0</v>
      </c>
      <c r="K53" s="474">
        <f t="shared" si="8"/>
        <v>0</v>
      </c>
      <c r="L53" s="475">
        <f>'3_Levels 1&amp;2'!AT53</f>
        <v>22632790.52</v>
      </c>
      <c r="M53" s="476">
        <f>'3_Levels 1&amp;2'!C53</f>
        <v>3361</v>
      </c>
      <c r="N53" s="472">
        <f t="shared" si="4"/>
        <v>3361</v>
      </c>
      <c r="O53" s="477">
        <f t="shared" si="9"/>
        <v>6733.9454091044327</v>
      </c>
      <c r="P53" s="478">
        <f t="shared" si="10"/>
        <v>0</v>
      </c>
      <c r="Q53" s="477"/>
      <c r="R53" s="477">
        <f t="shared" si="11"/>
        <v>0</v>
      </c>
      <c r="S53" s="478">
        <f t="shared" si="5"/>
        <v>0</v>
      </c>
    </row>
    <row r="54" spans="1:19" ht="15.6" customHeight="1" x14ac:dyDescent="0.2">
      <c r="A54" s="470">
        <v>48</v>
      </c>
      <c r="B54" s="471" t="s">
        <v>178</v>
      </c>
      <c r="C54" s="472">
        <v>0.57396400000000003</v>
      </c>
      <c r="D54" s="473">
        <f>'3_Levels 1&amp;2'!AQ54</f>
        <v>4861.8813008130082</v>
      </c>
      <c r="E54" s="473">
        <f t="shared" si="6"/>
        <v>6400.1036332736212</v>
      </c>
      <c r="F54" s="473">
        <f t="shared" si="7"/>
        <v>7870.4510251358161</v>
      </c>
      <c r="G54" s="474">
        <f t="shared" si="1"/>
        <v>4517</v>
      </c>
      <c r="H54" s="473"/>
      <c r="I54" s="473">
        <f t="shared" si="2"/>
        <v>4517</v>
      </c>
      <c r="J54" s="474">
        <f t="shared" si="3"/>
        <v>376</v>
      </c>
      <c r="K54" s="474">
        <f t="shared" si="8"/>
        <v>4517</v>
      </c>
      <c r="L54" s="475">
        <f>'3_Levels 1&amp;2'!AT54</f>
        <v>26242982.16</v>
      </c>
      <c r="M54" s="476">
        <f>'3_Levels 1&amp;2'!C54</f>
        <v>5535</v>
      </c>
      <c r="N54" s="472">
        <f t="shared" si="4"/>
        <v>5535.5739640000002</v>
      </c>
      <c r="O54" s="477">
        <f t="shared" si="9"/>
        <v>4740.7879166041976</v>
      </c>
      <c r="P54" s="478">
        <f t="shared" si="10"/>
        <v>2721</v>
      </c>
      <c r="Q54" s="477"/>
      <c r="R54" s="477">
        <f t="shared" si="11"/>
        <v>2721</v>
      </c>
      <c r="S54" s="478">
        <f t="shared" si="5"/>
        <v>227</v>
      </c>
    </row>
    <row r="55" spans="1:19" ht="15.6" customHeight="1" x14ac:dyDescent="0.2">
      <c r="A55" s="470">
        <v>49</v>
      </c>
      <c r="B55" s="471" t="s">
        <v>179</v>
      </c>
      <c r="C55" s="472">
        <v>4.0295860000000001</v>
      </c>
      <c r="D55" s="473">
        <f>'3_Levels 1&amp;2'!AQ55</f>
        <v>6018.6366130929046</v>
      </c>
      <c r="E55" s="473">
        <f t="shared" si="6"/>
        <v>7922.838027404784</v>
      </c>
      <c r="F55" s="473">
        <f t="shared" si="7"/>
        <v>9393.185419266978</v>
      </c>
      <c r="G55" s="474">
        <f t="shared" si="1"/>
        <v>37851</v>
      </c>
      <c r="H55" s="473"/>
      <c r="I55" s="473">
        <f t="shared" si="2"/>
        <v>37851</v>
      </c>
      <c r="J55" s="474">
        <f t="shared" si="3"/>
        <v>3154</v>
      </c>
      <c r="K55" s="474">
        <f t="shared" si="8"/>
        <v>37851</v>
      </c>
      <c r="L55" s="475">
        <f>'3_Levels 1&amp;2'!AT55</f>
        <v>38615761</v>
      </c>
      <c r="M55" s="476">
        <f>'3_Levels 1&amp;2'!C55</f>
        <v>12755</v>
      </c>
      <c r="N55" s="472">
        <f t="shared" si="4"/>
        <v>12759.029586000001</v>
      </c>
      <c r="O55" s="477">
        <f t="shared" si="9"/>
        <v>3026.5437304394695</v>
      </c>
      <c r="P55" s="478">
        <f t="shared" si="10"/>
        <v>12196</v>
      </c>
      <c r="Q55" s="477"/>
      <c r="R55" s="477">
        <f t="shared" si="11"/>
        <v>12196</v>
      </c>
      <c r="S55" s="478">
        <f t="shared" si="5"/>
        <v>1016</v>
      </c>
    </row>
    <row r="56" spans="1:19" ht="15.6" customHeight="1" x14ac:dyDescent="0.2">
      <c r="A56" s="479">
        <v>50</v>
      </c>
      <c r="B56" s="480" t="s">
        <v>180</v>
      </c>
      <c r="C56" s="481">
        <v>0.57396499999999995</v>
      </c>
      <c r="D56" s="482">
        <f>'3_Levels 1&amp;2'!AQ56</f>
        <v>5883.8164297430294</v>
      </c>
      <c r="E56" s="482">
        <f t="shared" si="6"/>
        <v>7745.3628707916714</v>
      </c>
      <c r="F56" s="482">
        <f t="shared" si="7"/>
        <v>9215.7102626538654</v>
      </c>
      <c r="G56" s="483">
        <f t="shared" si="1"/>
        <v>5289</v>
      </c>
      <c r="H56" s="482"/>
      <c r="I56" s="482">
        <f t="shared" si="2"/>
        <v>5289</v>
      </c>
      <c r="J56" s="483">
        <f t="shared" si="3"/>
        <v>441</v>
      </c>
      <c r="K56" s="483">
        <f t="shared" si="8"/>
        <v>5289</v>
      </c>
      <c r="L56" s="484">
        <f>'3_Levels 1&amp;2'!AT56</f>
        <v>25228104.66</v>
      </c>
      <c r="M56" s="485">
        <f>'3_Levels 1&amp;2'!C56</f>
        <v>7316</v>
      </c>
      <c r="N56" s="481">
        <f t="shared" si="4"/>
        <v>7316.5739649999996</v>
      </c>
      <c r="O56" s="486">
        <f t="shared" si="9"/>
        <v>3448.0762144526479</v>
      </c>
      <c r="P56" s="487">
        <f t="shared" si="10"/>
        <v>1979</v>
      </c>
      <c r="Q56" s="486"/>
      <c r="R56" s="486">
        <f t="shared" si="11"/>
        <v>1979</v>
      </c>
      <c r="S56" s="487">
        <f t="shared" si="5"/>
        <v>165</v>
      </c>
    </row>
    <row r="57" spans="1:19" ht="15.6" customHeight="1" x14ac:dyDescent="0.2">
      <c r="A57" s="461">
        <v>51</v>
      </c>
      <c r="B57" s="462" t="s">
        <v>181</v>
      </c>
      <c r="C57" s="463">
        <v>0.81065100000000001</v>
      </c>
      <c r="D57" s="464">
        <f>'3_Levels 1&amp;2'!AQ57</f>
        <v>5860.7456707159472</v>
      </c>
      <c r="E57" s="464">
        <f t="shared" si="6"/>
        <v>7714.9928885695799</v>
      </c>
      <c r="F57" s="464">
        <f t="shared" si="7"/>
        <v>9185.3402804317739</v>
      </c>
      <c r="G57" s="465">
        <f t="shared" si="1"/>
        <v>7446</v>
      </c>
      <c r="H57" s="464"/>
      <c r="I57" s="464">
        <f t="shared" si="2"/>
        <v>7446</v>
      </c>
      <c r="J57" s="465">
        <f t="shared" si="3"/>
        <v>621</v>
      </c>
      <c r="K57" s="465">
        <f t="shared" si="8"/>
        <v>7446</v>
      </c>
      <c r="L57" s="466">
        <f>'3_Levels 1&amp;2'!AT57</f>
        <v>31401383.960000001</v>
      </c>
      <c r="M57" s="467">
        <f>'3_Levels 1&amp;2'!C57</f>
        <v>7738</v>
      </c>
      <c r="N57" s="463">
        <f t="shared" si="4"/>
        <v>7738.8106509999998</v>
      </c>
      <c r="O57" s="468">
        <f t="shared" si="9"/>
        <v>4057.6498606982136</v>
      </c>
      <c r="P57" s="469">
        <f t="shared" si="10"/>
        <v>3289</v>
      </c>
      <c r="Q57" s="468"/>
      <c r="R57" s="468">
        <f t="shared" si="11"/>
        <v>3289</v>
      </c>
      <c r="S57" s="469">
        <f t="shared" si="5"/>
        <v>274</v>
      </c>
    </row>
    <row r="58" spans="1:19" ht="15.6" customHeight="1" x14ac:dyDescent="0.2">
      <c r="A58" s="470">
        <v>52</v>
      </c>
      <c r="B58" s="471" t="s">
        <v>182</v>
      </c>
      <c r="C58" s="472">
        <v>4.2366869999999999</v>
      </c>
      <c r="D58" s="473">
        <f>'3_Levels 1&amp;2'!AQ58</f>
        <v>5747.4225428070649</v>
      </c>
      <c r="E58" s="473">
        <f t="shared" si="6"/>
        <v>7565.8161156725764</v>
      </c>
      <c r="F58" s="473">
        <f t="shared" si="7"/>
        <v>9036.1635075347713</v>
      </c>
      <c r="G58" s="474">
        <f t="shared" si="1"/>
        <v>38283</v>
      </c>
      <c r="H58" s="473"/>
      <c r="I58" s="473">
        <f t="shared" si="2"/>
        <v>38283</v>
      </c>
      <c r="J58" s="474">
        <f t="shared" si="3"/>
        <v>3190</v>
      </c>
      <c r="K58" s="474">
        <f t="shared" si="8"/>
        <v>38283</v>
      </c>
      <c r="L58" s="475">
        <f>'3_Levels 1&amp;2'!AT58</f>
        <v>143812403.68000001</v>
      </c>
      <c r="M58" s="476">
        <f>'3_Levels 1&amp;2'!C58</f>
        <v>37085</v>
      </c>
      <c r="N58" s="472">
        <f t="shared" si="4"/>
        <v>37089.236686999997</v>
      </c>
      <c r="O58" s="477">
        <f>L58/N58</f>
        <v>3877.4700297460458</v>
      </c>
      <c r="P58" s="478">
        <f t="shared" si="10"/>
        <v>16428</v>
      </c>
      <c r="Q58" s="477"/>
      <c r="R58" s="477">
        <f t="shared" si="11"/>
        <v>16428</v>
      </c>
      <c r="S58" s="478">
        <f t="shared" si="5"/>
        <v>1369</v>
      </c>
    </row>
    <row r="59" spans="1:19" ht="15.6" customHeight="1" x14ac:dyDescent="0.2">
      <c r="A59" s="470">
        <v>53</v>
      </c>
      <c r="B59" s="471" t="s">
        <v>183</v>
      </c>
      <c r="C59" s="472">
        <v>2.526627</v>
      </c>
      <c r="D59" s="473">
        <f>'3_Levels 1&amp;2'!AQ59</f>
        <v>6179.8009744341998</v>
      </c>
      <c r="E59" s="473">
        <f t="shared" si="6"/>
        <v>8134.9922431817431</v>
      </c>
      <c r="F59" s="473">
        <f t="shared" si="7"/>
        <v>9605.339635043938</v>
      </c>
      <c r="G59" s="474">
        <f t="shared" si="1"/>
        <v>24269</v>
      </c>
      <c r="H59" s="473"/>
      <c r="I59" s="473">
        <f t="shared" si="2"/>
        <v>24269</v>
      </c>
      <c r="J59" s="474">
        <f t="shared" si="3"/>
        <v>2022</v>
      </c>
      <c r="K59" s="474">
        <f t="shared" si="8"/>
        <v>24269</v>
      </c>
      <c r="L59" s="475">
        <f>'3_Levels 1&amp;2'!AT59</f>
        <v>55004111</v>
      </c>
      <c r="M59" s="476">
        <f>'3_Levels 1&amp;2'!C59</f>
        <v>19088</v>
      </c>
      <c r="N59" s="472">
        <f t="shared" si="4"/>
        <v>19090.526626999999</v>
      </c>
      <c r="O59" s="477">
        <f t="shared" si="9"/>
        <v>2881.2254410104597</v>
      </c>
      <c r="P59" s="478">
        <f t="shared" si="10"/>
        <v>7280</v>
      </c>
      <c r="Q59" s="477"/>
      <c r="R59" s="477">
        <f t="shared" si="11"/>
        <v>7280</v>
      </c>
      <c r="S59" s="478">
        <f t="shared" si="5"/>
        <v>607</v>
      </c>
    </row>
    <row r="60" spans="1:19" ht="15.6" customHeight="1" x14ac:dyDescent="0.2">
      <c r="A60" s="470">
        <v>54</v>
      </c>
      <c r="B60" s="471" t="s">
        <v>184</v>
      </c>
      <c r="C60" s="472">
        <v>0.99408300000000005</v>
      </c>
      <c r="D60" s="473">
        <f>'3_Levels 1&amp;2'!AQ60</f>
        <v>5859.39205955335</v>
      </c>
      <c r="E60" s="473">
        <f t="shared" si="6"/>
        <v>7713.2110162481949</v>
      </c>
      <c r="F60" s="473">
        <f t="shared" si="7"/>
        <v>9183.5584081103898</v>
      </c>
      <c r="G60" s="474">
        <f t="shared" si="1"/>
        <v>9129</v>
      </c>
      <c r="H60" s="473"/>
      <c r="I60" s="473">
        <f t="shared" si="2"/>
        <v>9129</v>
      </c>
      <c r="J60" s="474">
        <f t="shared" si="3"/>
        <v>761</v>
      </c>
      <c r="K60" s="474">
        <f t="shared" si="8"/>
        <v>9129</v>
      </c>
      <c r="L60" s="475">
        <f>'3_Levels 1&amp;2'!AT60</f>
        <v>2135449.2400000002</v>
      </c>
      <c r="M60" s="476">
        <f>'3_Levels 1&amp;2'!C60</f>
        <v>403</v>
      </c>
      <c r="N60" s="472">
        <f t="shared" si="4"/>
        <v>403.99408299999999</v>
      </c>
      <c r="O60" s="477">
        <f t="shared" si="9"/>
        <v>5285.8428622084557</v>
      </c>
      <c r="P60" s="478">
        <f t="shared" si="10"/>
        <v>5255</v>
      </c>
      <c r="Q60" s="477"/>
      <c r="R60" s="477">
        <f t="shared" si="11"/>
        <v>5255</v>
      </c>
      <c r="S60" s="478">
        <f t="shared" si="5"/>
        <v>438</v>
      </c>
    </row>
    <row r="61" spans="1:19" ht="15.6" customHeight="1" x14ac:dyDescent="0.2">
      <c r="A61" s="479">
        <v>55</v>
      </c>
      <c r="B61" s="480" t="s">
        <v>185</v>
      </c>
      <c r="C61" s="481">
        <v>5.8165690000000003</v>
      </c>
      <c r="D61" s="482">
        <f>'3_Levels 1&amp;2'!AQ61</f>
        <v>5533.9040209896884</v>
      </c>
      <c r="E61" s="482">
        <f t="shared" si="6"/>
        <v>7284.7437112463131</v>
      </c>
      <c r="F61" s="482">
        <f t="shared" si="7"/>
        <v>8755.0911031085088</v>
      </c>
      <c r="G61" s="483">
        <f t="shared" si="1"/>
        <v>50925</v>
      </c>
      <c r="H61" s="482"/>
      <c r="I61" s="482">
        <f t="shared" si="2"/>
        <v>50925</v>
      </c>
      <c r="J61" s="483">
        <f t="shared" si="3"/>
        <v>4244</v>
      </c>
      <c r="K61" s="483">
        <f t="shared" si="8"/>
        <v>50925</v>
      </c>
      <c r="L61" s="484">
        <f>'3_Levels 1&amp;2'!AT61</f>
        <v>61717486.68</v>
      </c>
      <c r="M61" s="485">
        <f>'3_Levels 1&amp;2'!C61</f>
        <v>16389</v>
      </c>
      <c r="N61" s="481">
        <f t="shared" si="4"/>
        <v>16394.816568999999</v>
      </c>
      <c r="O61" s="486">
        <f t="shared" si="9"/>
        <v>3764.4511861570927</v>
      </c>
      <c r="P61" s="487">
        <f t="shared" si="10"/>
        <v>21896</v>
      </c>
      <c r="Q61" s="486"/>
      <c r="R61" s="486">
        <f t="shared" si="11"/>
        <v>21896</v>
      </c>
      <c r="S61" s="487">
        <f t="shared" si="5"/>
        <v>1825</v>
      </c>
    </row>
    <row r="62" spans="1:19" ht="15.6" customHeight="1" x14ac:dyDescent="0.2">
      <c r="A62" s="461">
        <v>56</v>
      </c>
      <c r="B62" s="462" t="s">
        <v>186</v>
      </c>
      <c r="C62" s="463">
        <v>0.24852099999999999</v>
      </c>
      <c r="D62" s="464">
        <f>'3_Levels 1&amp;2'!AQ62</f>
        <v>6769.5994531784008</v>
      </c>
      <c r="E62" s="464">
        <f t="shared" si="6"/>
        <v>8911.3936304551826</v>
      </c>
      <c r="F62" s="464">
        <f t="shared" si="7"/>
        <v>10381.741022317377</v>
      </c>
      <c r="G62" s="465">
        <f t="shared" si="1"/>
        <v>2580</v>
      </c>
      <c r="H62" s="464"/>
      <c r="I62" s="464">
        <f t="shared" si="2"/>
        <v>2580</v>
      </c>
      <c r="J62" s="465">
        <f t="shared" si="3"/>
        <v>215</v>
      </c>
      <c r="K62" s="465">
        <f t="shared" si="8"/>
        <v>2580</v>
      </c>
      <c r="L62" s="466">
        <f>'3_Levels 1&amp;2'!AT62</f>
        <v>10147770.800000001</v>
      </c>
      <c r="M62" s="467">
        <f>'3_Levels 1&amp;2'!C62</f>
        <v>2926</v>
      </c>
      <c r="N62" s="463">
        <f t="shared" si="4"/>
        <v>2926.248521</v>
      </c>
      <c r="O62" s="468">
        <f t="shared" si="9"/>
        <v>3467.8431196719266</v>
      </c>
      <c r="P62" s="469">
        <f t="shared" si="10"/>
        <v>862</v>
      </c>
      <c r="Q62" s="468"/>
      <c r="R62" s="468">
        <f t="shared" si="11"/>
        <v>862</v>
      </c>
      <c r="S62" s="469">
        <f t="shared" si="5"/>
        <v>72</v>
      </c>
    </row>
    <row r="63" spans="1:19" ht="15.6" customHeight="1" x14ac:dyDescent="0.2">
      <c r="A63" s="470">
        <v>57</v>
      </c>
      <c r="B63" s="471" t="s">
        <v>187</v>
      </c>
      <c r="C63" s="472">
        <v>1.165681</v>
      </c>
      <c r="D63" s="473">
        <f>'3_Levels 1&amp;2'!AQ63</f>
        <v>6234.186968228325</v>
      </c>
      <c r="E63" s="473">
        <f t="shared" si="6"/>
        <v>8206.5851050689253</v>
      </c>
      <c r="F63" s="473">
        <f t="shared" si="7"/>
        <v>9676.9324969311201</v>
      </c>
      <c r="G63" s="474">
        <f t="shared" si="1"/>
        <v>11280</v>
      </c>
      <c r="H63" s="473"/>
      <c r="I63" s="473">
        <f t="shared" si="2"/>
        <v>11280</v>
      </c>
      <c r="J63" s="474">
        <f t="shared" si="3"/>
        <v>940</v>
      </c>
      <c r="K63" s="474">
        <f t="shared" si="8"/>
        <v>11280</v>
      </c>
      <c r="L63" s="475">
        <f>'3_Levels 1&amp;2'!AT63</f>
        <v>24426148</v>
      </c>
      <c r="M63" s="476">
        <f>'3_Levels 1&amp;2'!C63</f>
        <v>9285</v>
      </c>
      <c r="N63" s="472">
        <f t="shared" si="4"/>
        <v>9286.1656810000004</v>
      </c>
      <c r="O63" s="477">
        <f t="shared" si="9"/>
        <v>2630.3803786289564</v>
      </c>
      <c r="P63" s="478">
        <f t="shared" si="10"/>
        <v>3066</v>
      </c>
      <c r="Q63" s="477"/>
      <c r="R63" s="477">
        <f t="shared" si="11"/>
        <v>3066</v>
      </c>
      <c r="S63" s="478">
        <f t="shared" si="5"/>
        <v>256</v>
      </c>
    </row>
    <row r="64" spans="1:19" ht="15.6" customHeight="1" x14ac:dyDescent="0.2">
      <c r="A64" s="470">
        <v>58</v>
      </c>
      <c r="B64" s="471" t="s">
        <v>188</v>
      </c>
      <c r="C64" s="472">
        <v>1</v>
      </c>
      <c r="D64" s="473">
        <f>'3_Levels 1&amp;2'!AQ64</f>
        <v>6905.2490595407962</v>
      </c>
      <c r="E64" s="473">
        <f t="shared" si="6"/>
        <v>9089.9606264011618</v>
      </c>
      <c r="F64" s="473">
        <f t="shared" si="7"/>
        <v>10560.308018263357</v>
      </c>
      <c r="G64" s="474">
        <f t="shared" si="1"/>
        <v>10560</v>
      </c>
      <c r="H64" s="473"/>
      <c r="I64" s="473">
        <f t="shared" si="2"/>
        <v>10560</v>
      </c>
      <c r="J64" s="474">
        <f t="shared" si="3"/>
        <v>880</v>
      </c>
      <c r="K64" s="474">
        <f t="shared" si="8"/>
        <v>10560</v>
      </c>
      <c r="L64" s="475">
        <f>'3_Levels 1&amp;2'!AT64</f>
        <v>21657357</v>
      </c>
      <c r="M64" s="476">
        <f>'3_Levels 1&amp;2'!C64</f>
        <v>7709</v>
      </c>
      <c r="N64" s="472">
        <f t="shared" si="4"/>
        <v>7710</v>
      </c>
      <c r="O64" s="477">
        <f t="shared" si="9"/>
        <v>2808.9957198443581</v>
      </c>
      <c r="P64" s="478">
        <f t="shared" si="10"/>
        <v>2809</v>
      </c>
      <c r="Q64" s="477"/>
      <c r="R64" s="477">
        <f t="shared" si="11"/>
        <v>2809</v>
      </c>
      <c r="S64" s="478">
        <f t="shared" si="5"/>
        <v>234</v>
      </c>
    </row>
    <row r="65" spans="1:19" ht="15.6" customHeight="1" x14ac:dyDescent="0.2">
      <c r="A65" s="470">
        <v>59</v>
      </c>
      <c r="B65" s="471" t="s">
        <v>189</v>
      </c>
      <c r="C65" s="472">
        <v>0.260355</v>
      </c>
      <c r="D65" s="473">
        <f>'3_Levels 1&amp;2'!AQ65</f>
        <v>7487.3309128630708</v>
      </c>
      <c r="E65" s="473">
        <f t="shared" si="6"/>
        <v>9856.2039700400874</v>
      </c>
      <c r="F65" s="473">
        <f t="shared" si="7"/>
        <v>11326.551361902282</v>
      </c>
      <c r="G65" s="474">
        <f t="shared" si="1"/>
        <v>2949</v>
      </c>
      <c r="H65" s="473"/>
      <c r="I65" s="473">
        <f t="shared" si="2"/>
        <v>2949</v>
      </c>
      <c r="J65" s="474">
        <f t="shared" si="3"/>
        <v>246</v>
      </c>
      <c r="K65" s="474">
        <f t="shared" si="8"/>
        <v>2949</v>
      </c>
      <c r="L65" s="475">
        <f>'3_Levels 1&amp;2'!AT65</f>
        <v>8320176</v>
      </c>
      <c r="M65" s="476">
        <f>'3_Levels 1&amp;2'!C65</f>
        <v>4820</v>
      </c>
      <c r="N65" s="472">
        <f t="shared" si="4"/>
        <v>4820.2603550000003</v>
      </c>
      <c r="O65" s="477">
        <f t="shared" si="9"/>
        <v>1726.0843579475074</v>
      </c>
      <c r="P65" s="478">
        <f t="shared" si="10"/>
        <v>449</v>
      </c>
      <c r="Q65" s="477"/>
      <c r="R65" s="477">
        <f t="shared" si="11"/>
        <v>449</v>
      </c>
      <c r="S65" s="478">
        <f t="shared" si="5"/>
        <v>37</v>
      </c>
    </row>
    <row r="66" spans="1:19" ht="15.6" customHeight="1" x14ac:dyDescent="0.2">
      <c r="A66" s="479">
        <v>60</v>
      </c>
      <c r="B66" s="480" t="s">
        <v>190</v>
      </c>
      <c r="C66" s="481">
        <v>0.41420099999999999</v>
      </c>
      <c r="D66" s="482">
        <f>'3_Levels 1&amp;2'!AQ66</f>
        <v>6373.4300881770741</v>
      </c>
      <c r="E66" s="482">
        <f t="shared" si="6"/>
        <v>8389.8825454534363</v>
      </c>
      <c r="F66" s="482">
        <f t="shared" si="7"/>
        <v>9860.2299373156311</v>
      </c>
      <c r="G66" s="483">
        <f t="shared" si="1"/>
        <v>4084</v>
      </c>
      <c r="H66" s="482"/>
      <c r="I66" s="482">
        <f t="shared" si="2"/>
        <v>4084</v>
      </c>
      <c r="J66" s="483">
        <f t="shared" si="3"/>
        <v>340</v>
      </c>
      <c r="K66" s="483">
        <f t="shared" si="8"/>
        <v>4084</v>
      </c>
      <c r="L66" s="484">
        <f>'3_Levels 1&amp;2'!AT66</f>
        <v>20225115.579999998</v>
      </c>
      <c r="M66" s="485">
        <f>'3_Levels 1&amp;2'!C66</f>
        <v>5557</v>
      </c>
      <c r="N66" s="481">
        <f t="shared" si="4"/>
        <v>5557.4142009999996</v>
      </c>
      <c r="O66" s="486">
        <f t="shared" si="9"/>
        <v>3639.3032530058126</v>
      </c>
      <c r="P66" s="487">
        <f t="shared" si="10"/>
        <v>1507</v>
      </c>
      <c r="Q66" s="486"/>
      <c r="R66" s="486">
        <f t="shared" si="11"/>
        <v>1507</v>
      </c>
      <c r="S66" s="487">
        <f t="shared" si="5"/>
        <v>126</v>
      </c>
    </row>
    <row r="67" spans="1:19" ht="15.6" customHeight="1" x14ac:dyDescent="0.2">
      <c r="A67" s="461">
        <v>61</v>
      </c>
      <c r="B67" s="462" t="s">
        <v>191</v>
      </c>
      <c r="C67" s="463">
        <v>1.218934</v>
      </c>
      <c r="D67" s="464">
        <f>'3_Levels 1&amp;2'!AQ67</f>
        <v>4003.0308562612495</v>
      </c>
      <c r="E67" s="464">
        <f t="shared" si="6"/>
        <v>5269.526494400402</v>
      </c>
      <c r="F67" s="464">
        <f t="shared" si="7"/>
        <v>6739.8738862625969</v>
      </c>
      <c r="G67" s="465">
        <f t="shared" si="1"/>
        <v>8215</v>
      </c>
      <c r="H67" s="464"/>
      <c r="I67" s="464">
        <f t="shared" si="2"/>
        <v>8215</v>
      </c>
      <c r="J67" s="465">
        <f t="shared" si="3"/>
        <v>685</v>
      </c>
      <c r="K67" s="465">
        <f t="shared" si="8"/>
        <v>8215</v>
      </c>
      <c r="L67" s="466">
        <f>'3_Levels 1&amp;2'!AT67</f>
        <v>20363210.079999998</v>
      </c>
      <c r="M67" s="467">
        <f>'3_Levels 1&amp;2'!C67</f>
        <v>3889</v>
      </c>
      <c r="N67" s="463">
        <f t="shared" si="4"/>
        <v>3890.218934</v>
      </c>
      <c r="O67" s="468">
        <f t="shared" si="9"/>
        <v>5234.4637732412002</v>
      </c>
      <c r="P67" s="469">
        <f t="shared" si="10"/>
        <v>6380</v>
      </c>
      <c r="Q67" s="468"/>
      <c r="R67" s="468">
        <f t="shared" si="11"/>
        <v>6380</v>
      </c>
      <c r="S67" s="469">
        <f t="shared" si="5"/>
        <v>532</v>
      </c>
    </row>
    <row r="68" spans="1:19" ht="15.6" customHeight="1" x14ac:dyDescent="0.2">
      <c r="A68" s="470">
        <v>62</v>
      </c>
      <c r="B68" s="471" t="s">
        <v>192</v>
      </c>
      <c r="C68" s="472">
        <v>1.1124259999999999</v>
      </c>
      <c r="D68" s="473">
        <f>'3_Levels 1&amp;2'!AQ68</f>
        <v>6884.1115949918349</v>
      </c>
      <c r="E68" s="473">
        <f t="shared" si="6"/>
        <v>9062.1356024468787</v>
      </c>
      <c r="F68" s="473">
        <f t="shared" si="7"/>
        <v>10532.482994309074</v>
      </c>
      <c r="G68" s="474">
        <f t="shared" si="1"/>
        <v>11717</v>
      </c>
      <c r="H68" s="473"/>
      <c r="I68" s="473">
        <f t="shared" si="2"/>
        <v>11717</v>
      </c>
      <c r="J68" s="474">
        <f t="shared" si="3"/>
        <v>976</v>
      </c>
      <c r="K68" s="474">
        <f t="shared" si="8"/>
        <v>11717</v>
      </c>
      <c r="L68" s="475">
        <f>'3_Levels 1&amp;2'!AT68</f>
        <v>4846065</v>
      </c>
      <c r="M68" s="476">
        <f>'3_Levels 1&amp;2'!C68</f>
        <v>1837</v>
      </c>
      <c r="N68" s="472">
        <f t="shared" si="4"/>
        <v>1838.1124259999999</v>
      </c>
      <c r="O68" s="477">
        <f t="shared" si="9"/>
        <v>2636.4355800290969</v>
      </c>
      <c r="P68" s="478">
        <f t="shared" si="10"/>
        <v>2933</v>
      </c>
      <c r="Q68" s="477"/>
      <c r="R68" s="477">
        <f t="shared" si="11"/>
        <v>2933</v>
      </c>
      <c r="S68" s="478">
        <f t="shared" si="5"/>
        <v>244</v>
      </c>
    </row>
    <row r="69" spans="1:19" ht="15.6" customHeight="1" x14ac:dyDescent="0.2">
      <c r="A69" s="470">
        <v>63</v>
      </c>
      <c r="B69" s="471" t="s">
        <v>193</v>
      </c>
      <c r="C69" s="472">
        <v>0.55621299999999996</v>
      </c>
      <c r="D69" s="473">
        <f>'3_Levels 1&amp;2'!AQ69</f>
        <v>3982.1353310778154</v>
      </c>
      <c r="E69" s="473">
        <f t="shared" si="6"/>
        <v>5242.0199555996096</v>
      </c>
      <c r="F69" s="473">
        <f t="shared" si="7"/>
        <v>6712.3673474618045</v>
      </c>
      <c r="G69" s="474">
        <f t="shared" si="1"/>
        <v>3734</v>
      </c>
      <c r="H69" s="473"/>
      <c r="I69" s="473">
        <f t="shared" si="2"/>
        <v>3734</v>
      </c>
      <c r="J69" s="474">
        <f t="shared" si="3"/>
        <v>311</v>
      </c>
      <c r="K69" s="474">
        <f t="shared" si="8"/>
        <v>3734</v>
      </c>
      <c r="L69" s="475">
        <f>'3_Levels 1&amp;2'!AT69</f>
        <v>11646282.4</v>
      </c>
      <c r="M69" s="476">
        <f>'3_Levels 1&amp;2'!C69</f>
        <v>2069</v>
      </c>
      <c r="N69" s="472">
        <f t="shared" si="4"/>
        <v>2069.5562129999998</v>
      </c>
      <c r="O69" s="477">
        <f t="shared" si="9"/>
        <v>5627.4298455115222</v>
      </c>
      <c r="P69" s="478">
        <f t="shared" si="10"/>
        <v>3130</v>
      </c>
      <c r="Q69" s="477"/>
      <c r="R69" s="477">
        <f t="shared" si="11"/>
        <v>3130</v>
      </c>
      <c r="S69" s="478">
        <f t="shared" si="5"/>
        <v>261</v>
      </c>
    </row>
    <row r="70" spans="1:19" ht="15.6" customHeight="1" x14ac:dyDescent="0.2">
      <c r="A70" s="470">
        <v>64</v>
      </c>
      <c r="B70" s="471" t="s">
        <v>194</v>
      </c>
      <c r="C70" s="472">
        <v>0</v>
      </c>
      <c r="D70" s="473">
        <f>'3_Levels 1&amp;2'!AQ70</f>
        <v>7134.0052798310453</v>
      </c>
      <c r="E70" s="473">
        <f t="shared" si="6"/>
        <v>9391.0916960487775</v>
      </c>
      <c r="F70" s="473">
        <f t="shared" si="7"/>
        <v>10861.439087910972</v>
      </c>
      <c r="G70" s="474">
        <f t="shared" si="1"/>
        <v>0</v>
      </c>
      <c r="H70" s="473"/>
      <c r="I70" s="473">
        <f t="shared" si="2"/>
        <v>0</v>
      </c>
      <c r="J70" s="474">
        <f t="shared" si="3"/>
        <v>0</v>
      </c>
      <c r="K70" s="474">
        <f t="shared" si="8"/>
        <v>0</v>
      </c>
      <c r="L70" s="475">
        <f>'3_Levels 1&amp;2'!AT70</f>
        <v>6672127</v>
      </c>
      <c r="M70" s="476">
        <f>'3_Levels 1&amp;2'!C70</f>
        <v>1894</v>
      </c>
      <c r="N70" s="472">
        <f t="shared" si="4"/>
        <v>1894</v>
      </c>
      <c r="O70" s="477">
        <f t="shared" si="9"/>
        <v>3522.7703273495249</v>
      </c>
      <c r="P70" s="478">
        <f t="shared" si="10"/>
        <v>0</v>
      </c>
      <c r="Q70" s="477"/>
      <c r="R70" s="477">
        <f t="shared" si="11"/>
        <v>0</v>
      </c>
      <c r="S70" s="478">
        <f t="shared" si="5"/>
        <v>0</v>
      </c>
    </row>
    <row r="71" spans="1:19" ht="15.6" customHeight="1" x14ac:dyDescent="0.2">
      <c r="A71" s="479">
        <v>65</v>
      </c>
      <c r="B71" s="480" t="s">
        <v>195</v>
      </c>
      <c r="C71" s="481">
        <v>1.142012</v>
      </c>
      <c r="D71" s="482">
        <f>'3_Levels 1&amp;2'!AQ71</f>
        <v>5966.8592611530103</v>
      </c>
      <c r="E71" s="482">
        <f t="shared" si="6"/>
        <v>7854.6791403878606</v>
      </c>
      <c r="F71" s="482">
        <f t="shared" si="7"/>
        <v>9325.0265322500563</v>
      </c>
      <c r="G71" s="483">
        <f>ROUND(C71*F71,0)</f>
        <v>10649</v>
      </c>
      <c r="H71" s="482"/>
      <c r="I71" s="482">
        <f>G71-H71</f>
        <v>10649</v>
      </c>
      <c r="J71" s="483">
        <f t="shared" ref="J71:J75" si="12">ROUND(I71/$J$87,0)</f>
        <v>887</v>
      </c>
      <c r="K71" s="483">
        <f t="shared" si="8"/>
        <v>10649</v>
      </c>
      <c r="L71" s="484">
        <f>'3_Levels 1&amp;2'!AT71</f>
        <v>31806458.719999999</v>
      </c>
      <c r="M71" s="485">
        <f>'3_Levels 1&amp;2'!C71</f>
        <v>7823</v>
      </c>
      <c r="N71" s="481">
        <f>C71+M71</f>
        <v>7824.1420120000002</v>
      </c>
      <c r="O71" s="486">
        <f t="shared" si="9"/>
        <v>4065.1688927959094</v>
      </c>
      <c r="P71" s="487">
        <f t="shared" si="10"/>
        <v>4642</v>
      </c>
      <c r="Q71" s="486"/>
      <c r="R71" s="486">
        <f t="shared" si="11"/>
        <v>4642</v>
      </c>
      <c r="S71" s="487">
        <f t="shared" ref="S71:S75" si="13">ROUND(R71/$S$87,0)</f>
        <v>387</v>
      </c>
    </row>
    <row r="72" spans="1:19" ht="15.6" customHeight="1" x14ac:dyDescent="0.2">
      <c r="A72" s="461">
        <v>66</v>
      </c>
      <c r="B72" s="462" t="s">
        <v>196</v>
      </c>
      <c r="C72" s="463">
        <v>0</v>
      </c>
      <c r="D72" s="464">
        <f>'3_Levels 1&amp;2'!AQ72</f>
        <v>7231.74920466596</v>
      </c>
      <c r="E72" s="464">
        <f>D72*(1+$E$3)</f>
        <v>9519.7602524698796</v>
      </c>
      <c r="F72" s="464">
        <f>E72+$F$3</f>
        <v>10990.107644332074</v>
      </c>
      <c r="G72" s="465">
        <f>ROUND(C72*F72,0)</f>
        <v>0</v>
      </c>
      <c r="H72" s="464"/>
      <c r="I72" s="464">
        <f>G72-H72</f>
        <v>0</v>
      </c>
      <c r="J72" s="465">
        <f t="shared" si="12"/>
        <v>0</v>
      </c>
      <c r="K72" s="465">
        <f>G72</f>
        <v>0</v>
      </c>
      <c r="L72" s="466">
        <f>'3_Levels 1&amp;2'!AT72</f>
        <v>8047771.2199999997</v>
      </c>
      <c r="M72" s="467">
        <f>'3_Levels 1&amp;2'!C72</f>
        <v>1886</v>
      </c>
      <c r="N72" s="463">
        <f>C72+M72</f>
        <v>1886</v>
      </c>
      <c r="O72" s="468">
        <f>L72/N72</f>
        <v>4267.1109331919406</v>
      </c>
      <c r="P72" s="469">
        <f>ROUND(C72*O72,0)</f>
        <v>0</v>
      </c>
      <c r="Q72" s="468"/>
      <c r="R72" s="468">
        <f>P72-Q72</f>
        <v>0</v>
      </c>
      <c r="S72" s="469">
        <f t="shared" si="13"/>
        <v>0</v>
      </c>
    </row>
    <row r="73" spans="1:19" ht="15.6" customHeight="1" x14ac:dyDescent="0.2">
      <c r="A73" s="470">
        <v>67</v>
      </c>
      <c r="B73" s="471" t="s">
        <v>197</v>
      </c>
      <c r="C73" s="472">
        <v>0</v>
      </c>
      <c r="D73" s="473">
        <f>'3_Levels 1&amp;2'!AQ73</f>
        <v>6072.4582014522439</v>
      </c>
      <c r="E73" s="473">
        <f>D73*(1+$E$3)</f>
        <v>7993.6879149060605</v>
      </c>
      <c r="F73" s="473">
        <f>E73+$F$3</f>
        <v>9464.0353067682554</v>
      </c>
      <c r="G73" s="474">
        <f>ROUND(C73*F73,0)</f>
        <v>0</v>
      </c>
      <c r="H73" s="473"/>
      <c r="I73" s="473">
        <f>G73-H73</f>
        <v>0</v>
      </c>
      <c r="J73" s="474">
        <f t="shared" si="12"/>
        <v>0</v>
      </c>
      <c r="K73" s="474">
        <f>G73</f>
        <v>0</v>
      </c>
      <c r="L73" s="475">
        <f>'3_Levels 1&amp;2'!AT73</f>
        <v>18196329.739999998</v>
      </c>
      <c r="M73" s="476">
        <f>'3_Levels 1&amp;2'!C73</f>
        <v>5371</v>
      </c>
      <c r="N73" s="472">
        <f>C73+M73</f>
        <v>5371</v>
      </c>
      <c r="O73" s="477">
        <f>L73/N73</f>
        <v>3387.8848892198844</v>
      </c>
      <c r="P73" s="478">
        <f>ROUND(C73*O73,0)</f>
        <v>0</v>
      </c>
      <c r="Q73" s="477"/>
      <c r="R73" s="477">
        <f>P73-Q73</f>
        <v>0</v>
      </c>
      <c r="S73" s="478">
        <f t="shared" si="13"/>
        <v>0</v>
      </c>
    </row>
    <row r="74" spans="1:19" ht="15.6" customHeight="1" x14ac:dyDescent="0.2">
      <c r="A74" s="470">
        <v>68</v>
      </c>
      <c r="B74" s="488" t="s">
        <v>198</v>
      </c>
      <c r="C74" s="472">
        <v>0.33136100000000002</v>
      </c>
      <c r="D74" s="473">
        <f>'3_Levels 1&amp;2'!AQ74</f>
        <v>7230.8801036941022</v>
      </c>
      <c r="E74" s="473">
        <f>D74*(1+$E$3)</f>
        <v>9518.6161816990152</v>
      </c>
      <c r="F74" s="473">
        <f>E74+$F$3</f>
        <v>10988.96357356121</v>
      </c>
      <c r="G74" s="474">
        <f>ROUND(C74*F74,0)</f>
        <v>3641</v>
      </c>
      <c r="H74" s="473"/>
      <c r="I74" s="473">
        <f>G74-H74</f>
        <v>3641</v>
      </c>
      <c r="J74" s="474">
        <f t="shared" si="12"/>
        <v>303</v>
      </c>
      <c r="K74" s="474">
        <f>G74</f>
        <v>3641</v>
      </c>
      <c r="L74" s="475">
        <f>'3_Levels 1&amp;2'!AT74</f>
        <v>5327782.74</v>
      </c>
      <c r="M74" s="476">
        <f>'3_Levels 1&amp;2'!C74</f>
        <v>1543</v>
      </c>
      <c r="N74" s="472">
        <f>C74+M74</f>
        <v>1543.331361</v>
      </c>
      <c r="O74" s="477">
        <f>L74/N74</f>
        <v>3452.1314570759896</v>
      </c>
      <c r="P74" s="478">
        <f>ROUND(C74*O74,0)</f>
        <v>1144</v>
      </c>
      <c r="Q74" s="477"/>
      <c r="R74" s="477">
        <f>P74-Q74</f>
        <v>1144</v>
      </c>
      <c r="S74" s="478">
        <f t="shared" si="13"/>
        <v>95</v>
      </c>
    </row>
    <row r="75" spans="1:19" ht="15.6" customHeight="1" x14ac:dyDescent="0.2">
      <c r="A75" s="470">
        <v>69</v>
      </c>
      <c r="B75" s="471" t="s">
        <v>199</v>
      </c>
      <c r="C75" s="472">
        <v>0</v>
      </c>
      <c r="D75" s="473">
        <f>'3_Levels 1&amp;2'!AQ75</f>
        <v>6776.1302521008402</v>
      </c>
      <c r="E75" s="473">
        <f>D75*(1+$E$3)</f>
        <v>8919.9906708446088</v>
      </c>
      <c r="F75" s="473">
        <f>E75+$F$3</f>
        <v>10390.338062706804</v>
      </c>
      <c r="G75" s="474">
        <f>ROUND(C75*F75,0)</f>
        <v>0</v>
      </c>
      <c r="H75" s="473"/>
      <c r="I75" s="473">
        <f>G75-H75</f>
        <v>0</v>
      </c>
      <c r="J75" s="474">
        <f t="shared" si="12"/>
        <v>0</v>
      </c>
      <c r="K75" s="474">
        <f>G75</f>
        <v>0</v>
      </c>
      <c r="L75" s="475">
        <f>'3_Levels 1&amp;2'!AT75</f>
        <v>14248979.6</v>
      </c>
      <c r="M75" s="476">
        <f>'3_Levels 1&amp;2'!C75</f>
        <v>4760</v>
      </c>
      <c r="N75" s="472">
        <f>C75+M75</f>
        <v>4760</v>
      </c>
      <c r="O75" s="477">
        <f>L75/N75</f>
        <v>2993.4831092436975</v>
      </c>
      <c r="P75" s="478">
        <f>ROUND(C75*O75,0)</f>
        <v>0</v>
      </c>
      <c r="Q75" s="477"/>
      <c r="R75" s="477">
        <f>P75-Q75</f>
        <v>0</v>
      </c>
      <c r="S75" s="478">
        <f t="shared" si="13"/>
        <v>0</v>
      </c>
    </row>
    <row r="76" spans="1:19" s="167" customFormat="1" ht="15.6" customHeight="1" thickBot="1" x14ac:dyDescent="0.25">
      <c r="A76" s="1025" t="s">
        <v>751</v>
      </c>
      <c r="B76" s="1026"/>
      <c r="C76" s="489">
        <f>SUM(C7:C75)</f>
        <v>155.8816589999999</v>
      </c>
      <c r="D76" s="490"/>
      <c r="E76" s="490"/>
      <c r="F76" s="490"/>
      <c r="G76" s="491">
        <f t="shared" ref="G76:N76" si="14">SUM(G7:G75)</f>
        <v>1295580</v>
      </c>
      <c r="H76" s="447">
        <f t="shared" si="14"/>
        <v>0</v>
      </c>
      <c r="I76" s="447">
        <f t="shared" si="14"/>
        <v>1295580</v>
      </c>
      <c r="J76" s="491">
        <f t="shared" si="14"/>
        <v>107965</v>
      </c>
      <c r="K76" s="491">
        <f t="shared" si="14"/>
        <v>1295580</v>
      </c>
      <c r="L76" s="492">
        <f t="shared" si="14"/>
        <v>2607758158.8799987</v>
      </c>
      <c r="M76" s="493">
        <f t="shared" si="14"/>
        <v>665649</v>
      </c>
      <c r="N76" s="489">
        <f t="shared" si="14"/>
        <v>665804.88165899983</v>
      </c>
      <c r="O76" s="490"/>
      <c r="P76" s="494">
        <f t="shared" ref="P76:S76" si="15">SUM(P7:P75)</f>
        <v>632697</v>
      </c>
      <c r="Q76" s="447">
        <f t="shared" si="15"/>
        <v>0</v>
      </c>
      <c r="R76" s="495">
        <f t="shared" si="15"/>
        <v>632697</v>
      </c>
      <c r="S76" s="494">
        <f t="shared" si="15"/>
        <v>52729</v>
      </c>
    </row>
    <row r="77" spans="1:19" s="167" customFormat="1" ht="15.6" customHeight="1" thickTop="1" x14ac:dyDescent="0.2">
      <c r="A77" s="1036" t="s">
        <v>752</v>
      </c>
      <c r="B77" s="1037"/>
      <c r="C77" s="496"/>
      <c r="D77" s="497"/>
      <c r="E77" s="497"/>
      <c r="F77" s="497"/>
      <c r="G77" s="498"/>
      <c r="H77" s="498"/>
      <c r="I77" s="497"/>
      <c r="J77" s="498"/>
      <c r="K77" s="498"/>
      <c r="L77" s="499"/>
      <c r="M77" s="500"/>
      <c r="N77" s="496"/>
      <c r="O77" s="497"/>
      <c r="P77" s="501"/>
      <c r="Q77" s="502"/>
      <c r="R77" s="501"/>
      <c r="S77" s="501"/>
    </row>
    <row r="78" spans="1:19" s="167" customFormat="1" ht="15.6" customHeight="1" x14ac:dyDescent="0.2">
      <c r="A78" s="1047" t="s">
        <v>753</v>
      </c>
      <c r="B78" s="1048"/>
      <c r="C78" s="504"/>
      <c r="D78" s="497"/>
      <c r="E78" s="497"/>
      <c r="F78" s="497"/>
      <c r="G78" s="505">
        <v>0</v>
      </c>
      <c r="H78" s="498"/>
      <c r="I78" s="497">
        <f>G78-H78</f>
        <v>0</v>
      </c>
      <c r="J78" s="505">
        <f>ROUND(I78/$J$87,0)</f>
        <v>0</v>
      </c>
      <c r="K78" s="505">
        <v>0</v>
      </c>
      <c r="L78" s="506"/>
      <c r="M78" s="507"/>
      <c r="N78" s="508"/>
      <c r="O78" s="497"/>
      <c r="P78" s="501"/>
      <c r="Q78" s="502"/>
      <c r="R78" s="501"/>
      <c r="S78" s="501"/>
    </row>
    <row r="79" spans="1:19" s="167" customFormat="1" ht="15.6" customHeight="1" x14ac:dyDescent="0.2">
      <c r="A79" s="1047" t="s">
        <v>754</v>
      </c>
      <c r="B79" s="1048"/>
      <c r="C79" s="509"/>
      <c r="D79" s="497"/>
      <c r="E79" s="497"/>
      <c r="F79" s="497"/>
      <c r="G79" s="498"/>
      <c r="H79" s="498"/>
      <c r="I79" s="497"/>
      <c r="J79" s="498"/>
      <c r="K79" s="505">
        <v>0</v>
      </c>
      <c r="L79" s="510"/>
      <c r="M79" s="511"/>
      <c r="N79" s="509"/>
      <c r="O79" s="497"/>
      <c r="P79" s="503"/>
      <c r="Q79" s="502"/>
      <c r="R79" s="503"/>
      <c r="S79" s="503"/>
    </row>
    <row r="80" spans="1:19" s="167" customFormat="1" ht="15.6" customHeight="1" x14ac:dyDescent="0.2">
      <c r="A80" s="1043" t="s">
        <v>755</v>
      </c>
      <c r="B80" s="1044"/>
      <c r="C80" s="509"/>
      <c r="D80" s="497"/>
      <c r="E80" s="497"/>
      <c r="F80" s="497"/>
      <c r="G80" s="498"/>
      <c r="H80" s="498"/>
      <c r="I80" s="497"/>
      <c r="J80" s="498"/>
      <c r="K80" s="505">
        <v>28559</v>
      </c>
      <c r="L80" s="510"/>
      <c r="M80" s="512"/>
      <c r="N80" s="513"/>
      <c r="O80" s="497"/>
      <c r="P80" s="503"/>
      <c r="Q80" s="502"/>
      <c r="R80" s="503"/>
      <c r="S80" s="503"/>
    </row>
    <row r="81" spans="1:19" s="167" customFormat="1" ht="15.6" customHeight="1" x14ac:dyDescent="0.2">
      <c r="A81" s="1043" t="s">
        <v>756</v>
      </c>
      <c r="B81" s="1044"/>
      <c r="C81" s="509"/>
      <c r="D81" s="497"/>
      <c r="E81" s="497"/>
      <c r="F81" s="497"/>
      <c r="G81" s="498"/>
      <c r="H81" s="498"/>
      <c r="I81" s="497"/>
      <c r="J81" s="498"/>
      <c r="K81" s="505">
        <v>0</v>
      </c>
      <c r="L81" s="510"/>
      <c r="M81" s="512"/>
      <c r="N81" s="513"/>
      <c r="O81" s="497"/>
      <c r="P81" s="503"/>
      <c r="Q81" s="502"/>
      <c r="R81" s="503"/>
      <c r="S81" s="503"/>
    </row>
    <row r="82" spans="1:19" s="167" customFormat="1" ht="15.6" customHeight="1" x14ac:dyDescent="0.2">
      <c r="A82" s="1049" t="s">
        <v>757</v>
      </c>
      <c r="B82" s="1050"/>
      <c r="C82" s="514"/>
      <c r="D82" s="515"/>
      <c r="E82" s="515"/>
      <c r="F82" s="515"/>
      <c r="G82" s="444">
        <v>10089</v>
      </c>
      <c r="H82" s="443"/>
      <c r="I82" s="515">
        <f>G82-H82</f>
        <v>10089</v>
      </c>
      <c r="J82" s="444">
        <f>ROUND(I82/$J$87,0)</f>
        <v>841</v>
      </c>
      <c r="K82" s="444">
        <v>10089</v>
      </c>
      <c r="L82" s="516"/>
      <c r="M82" s="517"/>
      <c r="N82" s="518"/>
      <c r="O82" s="515"/>
      <c r="P82" s="519"/>
      <c r="Q82" s="520"/>
      <c r="R82" s="519"/>
      <c r="S82" s="519"/>
    </row>
    <row r="83" spans="1:19" s="167" customFormat="1" ht="15.6" customHeight="1" x14ac:dyDescent="0.2">
      <c r="A83" s="1043" t="s">
        <v>758</v>
      </c>
      <c r="B83" s="1044"/>
      <c r="C83" s="509"/>
      <c r="D83" s="497"/>
      <c r="E83" s="497"/>
      <c r="F83" s="497"/>
      <c r="G83" s="505">
        <v>64167</v>
      </c>
      <c r="H83" s="498"/>
      <c r="I83" s="497">
        <f t="shared" ref="I83:I84" si="16">G83-H83</f>
        <v>64167</v>
      </c>
      <c r="J83" s="505">
        <f>ROUND(I83/$J$87,0)</f>
        <v>5347</v>
      </c>
      <c r="K83" s="505">
        <v>64167</v>
      </c>
      <c r="L83" s="510"/>
      <c r="M83" s="512"/>
      <c r="N83" s="513"/>
      <c r="O83" s="497"/>
      <c r="P83" s="503"/>
      <c r="Q83" s="502"/>
      <c r="R83" s="503"/>
      <c r="S83" s="503"/>
    </row>
    <row r="84" spans="1:19" s="167" customFormat="1" ht="15.6" customHeight="1" x14ac:dyDescent="0.2">
      <c r="A84" s="1043" t="s">
        <v>759</v>
      </c>
      <c r="B84" s="1044"/>
      <c r="C84" s="509"/>
      <c r="D84" s="497"/>
      <c r="E84" s="497"/>
      <c r="F84" s="497"/>
      <c r="G84" s="505">
        <v>51333</v>
      </c>
      <c r="H84" s="498"/>
      <c r="I84" s="497">
        <f t="shared" si="16"/>
        <v>51333</v>
      </c>
      <c r="J84" s="505">
        <f>ROUND(I84/$J$87,0)</f>
        <v>4278</v>
      </c>
      <c r="K84" s="505">
        <v>51333</v>
      </c>
      <c r="L84" s="510"/>
      <c r="M84" s="512"/>
      <c r="N84" s="513"/>
      <c r="O84" s="497"/>
      <c r="P84" s="503"/>
      <c r="Q84" s="502"/>
      <c r="R84" s="503"/>
      <c r="S84" s="503"/>
    </row>
    <row r="85" spans="1:19" s="167" customFormat="1" ht="15.6" customHeight="1" thickBot="1" x14ac:dyDescent="0.25">
      <c r="A85" s="1045" t="s">
        <v>760</v>
      </c>
      <c r="B85" s="1046"/>
      <c r="C85" s="521">
        <f>SUM(C76:C84)</f>
        <v>155.8816589999999</v>
      </c>
      <c r="D85" s="522"/>
      <c r="E85" s="522"/>
      <c r="F85" s="522"/>
      <c r="G85" s="523">
        <f t="shared" ref="G85:N85" si="17">SUM(G76:G84)</f>
        <v>1421169</v>
      </c>
      <c r="H85" s="524">
        <f t="shared" si="17"/>
        <v>0</v>
      </c>
      <c r="I85" s="524">
        <f t="shared" si="17"/>
        <v>1421169</v>
      </c>
      <c r="J85" s="523">
        <f t="shared" si="17"/>
        <v>118431</v>
      </c>
      <c r="K85" s="523">
        <f t="shared" si="17"/>
        <v>1449728</v>
      </c>
      <c r="L85" s="525">
        <f t="shared" si="17"/>
        <v>2607758158.8799987</v>
      </c>
      <c r="M85" s="526">
        <f t="shared" si="17"/>
        <v>665649</v>
      </c>
      <c r="N85" s="527">
        <f t="shared" si="17"/>
        <v>665804.88165899983</v>
      </c>
      <c r="O85" s="522"/>
      <c r="P85" s="528">
        <f t="shared" ref="P85:S85" si="18">SUM(P76:P84)</f>
        <v>632697</v>
      </c>
      <c r="Q85" s="524">
        <f t="shared" si="18"/>
        <v>0</v>
      </c>
      <c r="R85" s="529">
        <f t="shared" si="18"/>
        <v>632697</v>
      </c>
      <c r="S85" s="528">
        <f t="shared" si="18"/>
        <v>52729</v>
      </c>
    </row>
    <row r="86" spans="1:19" ht="21" thickTop="1" x14ac:dyDescent="0.2">
      <c r="A86" s="530"/>
      <c r="C86" s="172"/>
      <c r="G86" s="532"/>
      <c r="H86" s="532"/>
      <c r="I86" s="532"/>
      <c r="J86" s="532"/>
      <c r="K86" s="532"/>
      <c r="M86" s="172"/>
    </row>
    <row r="87" spans="1:19" ht="12.75" customHeight="1" x14ac:dyDescent="0.2">
      <c r="E87" s="172"/>
      <c r="F87" s="172"/>
      <c r="J87" s="531">
        <v>12</v>
      </c>
      <c r="S87" s="531">
        <f>J87</f>
        <v>12</v>
      </c>
    </row>
    <row r="88" spans="1:19" s="532" customFormat="1" x14ac:dyDescent="0.2"/>
  </sheetData>
  <sheetProtection password="D893" sheet="1" objects="1" scenarios="1"/>
  <mergeCells count="28">
    <mergeCell ref="A85:B85"/>
    <mergeCell ref="A78:B78"/>
    <mergeCell ref="A79:B79"/>
    <mergeCell ref="A80:B80"/>
    <mergeCell ref="A81:B81"/>
    <mergeCell ref="A82:B82"/>
    <mergeCell ref="A83:B83"/>
    <mergeCell ref="S2:S3"/>
    <mergeCell ref="A76:B76"/>
    <mergeCell ref="N2:N3"/>
    <mergeCell ref="O2:O3"/>
    <mergeCell ref="A84:B84"/>
    <mergeCell ref="A77:B77"/>
    <mergeCell ref="J2:J3"/>
    <mergeCell ref="K2:K3"/>
    <mergeCell ref="L2:L3"/>
    <mergeCell ref="M2:M3"/>
    <mergeCell ref="A1:B3"/>
    <mergeCell ref="C1:K1"/>
    <mergeCell ref="L1:S1"/>
    <mergeCell ref="C2:C3"/>
    <mergeCell ref="D2:D3"/>
    <mergeCell ref="G2:G3"/>
    <mergeCell ref="H2:H3"/>
    <mergeCell ref="I2:I3"/>
    <mergeCell ref="P2:P3"/>
    <mergeCell ref="Q2:Q3"/>
    <mergeCell ref="R2:R3"/>
  </mergeCells>
  <printOptions horizontalCentered="1"/>
  <pageMargins left="0.25" right="0.25" top="0.7" bottom="0.4" header="0.25" footer="0.2"/>
  <pageSetup paperSize="5" scale="65" firstPageNumber="90" fitToWidth="0" fitToHeight="0" orientation="portrait" r:id="rId1"/>
  <headerFooter alignWithMargins="0">
    <oddHeader xml:space="preserve">&amp;L&amp;"Arial,Bold"&amp;20&amp;K000000FY2021-22 Budget Letter
July 2021&amp;R&amp;"Arial,Bold"&amp;12&amp;KFF0000
</oddHeader>
    <oddFooter>&amp;R&amp;9&amp;P</oddFooter>
  </headerFooter>
  <colBreaks count="1" manualBreakCount="1">
    <brk id="11" max="8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87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5" style="2" customWidth="1"/>
    <col min="2" max="2" width="26.28515625" style="2" customWidth="1"/>
    <col min="3" max="8" width="15.7109375" style="2" customWidth="1"/>
    <col min="9" max="9" width="14.140625" style="2" customWidth="1"/>
    <col min="10" max="10" width="13.42578125" style="2" bestFit="1" customWidth="1"/>
    <col min="11" max="11" width="17.85546875" style="2" customWidth="1"/>
    <col min="12" max="14" width="14.5703125" style="2" customWidth="1"/>
    <col min="15" max="15" width="19.140625" style="2" customWidth="1"/>
    <col min="16" max="16384" width="8.85546875" style="2"/>
  </cols>
  <sheetData>
    <row r="1" spans="1:15" ht="17.45" customHeight="1" x14ac:dyDescent="0.2">
      <c r="A1" s="1053" t="s">
        <v>762</v>
      </c>
      <c r="B1" s="1053"/>
      <c r="C1" s="1054" t="s">
        <v>625</v>
      </c>
      <c r="D1" s="1055"/>
      <c r="E1" s="1055"/>
      <c r="F1" s="1055"/>
      <c r="G1" s="1055"/>
      <c r="H1" s="1056"/>
      <c r="I1" s="1054" t="s">
        <v>625</v>
      </c>
      <c r="J1" s="1055"/>
      <c r="K1" s="1055"/>
      <c r="L1" s="1055"/>
      <c r="M1" s="1055"/>
      <c r="N1" s="1055"/>
      <c r="O1" s="1056"/>
    </row>
    <row r="2" spans="1:15" s="536" customFormat="1" ht="17.45" customHeight="1" x14ac:dyDescent="0.2">
      <c r="A2" s="1053"/>
      <c r="B2" s="1053"/>
      <c r="C2" s="533"/>
      <c r="D2" s="534"/>
      <c r="E2" s="534"/>
      <c r="F2" s="1057" t="s">
        <v>18</v>
      </c>
      <c r="G2" s="1058"/>
      <c r="H2" s="1059"/>
      <c r="I2" s="533"/>
      <c r="J2" s="534"/>
      <c r="K2" s="534"/>
      <c r="L2" s="534"/>
      <c r="M2" s="534"/>
      <c r="N2" s="534"/>
      <c r="O2" s="535"/>
    </row>
    <row r="3" spans="1:15" ht="138" customHeight="1" x14ac:dyDescent="0.2">
      <c r="A3" s="1053"/>
      <c r="B3" s="1053"/>
      <c r="C3" s="537" t="s">
        <v>626</v>
      </c>
      <c r="D3" s="538" t="s">
        <v>763</v>
      </c>
      <c r="E3" s="538" t="s">
        <v>764</v>
      </c>
      <c r="F3" s="539" t="s">
        <v>63</v>
      </c>
      <c r="G3" s="539" t="s">
        <v>64</v>
      </c>
      <c r="H3" s="539" t="s">
        <v>65</v>
      </c>
      <c r="I3" s="538" t="s">
        <v>765</v>
      </c>
      <c r="J3" s="540" t="s">
        <v>670</v>
      </c>
      <c r="K3" s="541" t="s">
        <v>766</v>
      </c>
      <c r="L3" s="541" t="s">
        <v>636</v>
      </c>
      <c r="M3" s="541" t="s">
        <v>637</v>
      </c>
      <c r="N3" s="541" t="s">
        <v>638</v>
      </c>
      <c r="O3" s="541" t="s">
        <v>767</v>
      </c>
    </row>
    <row r="4" spans="1:15" ht="14.25" customHeight="1" x14ac:dyDescent="0.2">
      <c r="A4" s="542"/>
      <c r="B4" s="543"/>
      <c r="C4" s="544">
        <v>1</v>
      </c>
      <c r="D4" s="544">
        <f>C4+1</f>
        <v>2</v>
      </c>
      <c r="E4" s="544">
        <f>D4+1</f>
        <v>3</v>
      </c>
      <c r="F4" s="544">
        <f t="shared" ref="F4:O4" si="0">E4+1</f>
        <v>4</v>
      </c>
      <c r="G4" s="544">
        <f t="shared" si="0"/>
        <v>5</v>
      </c>
      <c r="H4" s="544">
        <f t="shared" si="0"/>
        <v>6</v>
      </c>
      <c r="I4" s="544">
        <f t="shared" si="0"/>
        <v>7</v>
      </c>
      <c r="J4" s="544">
        <f t="shared" si="0"/>
        <v>8</v>
      </c>
      <c r="K4" s="544">
        <f t="shared" si="0"/>
        <v>9</v>
      </c>
      <c r="L4" s="544">
        <f t="shared" si="0"/>
        <v>10</v>
      </c>
      <c r="M4" s="544">
        <f t="shared" si="0"/>
        <v>11</v>
      </c>
      <c r="N4" s="544">
        <f t="shared" si="0"/>
        <v>12</v>
      </c>
      <c r="O4" s="544">
        <f t="shared" si="0"/>
        <v>13</v>
      </c>
    </row>
    <row r="5" spans="1:15" s="381" customFormat="1" ht="11.25" hidden="1" x14ac:dyDescent="0.2">
      <c r="A5" s="545"/>
      <c r="B5" s="545"/>
      <c r="C5" s="34" t="s">
        <v>73</v>
      </c>
      <c r="D5" s="34" t="s">
        <v>73</v>
      </c>
      <c r="E5" s="34" t="s">
        <v>74</v>
      </c>
      <c r="F5" s="34" t="s">
        <v>640</v>
      </c>
      <c r="G5" s="34" t="s">
        <v>640</v>
      </c>
      <c r="H5" s="34" t="s">
        <v>74</v>
      </c>
      <c r="I5" s="34" t="s">
        <v>74</v>
      </c>
      <c r="J5" s="34" t="s">
        <v>112</v>
      </c>
      <c r="K5" s="34" t="s">
        <v>731</v>
      </c>
      <c r="L5" s="34" t="s">
        <v>768</v>
      </c>
      <c r="M5" s="34" t="s">
        <v>74</v>
      </c>
      <c r="N5" s="34" t="s">
        <v>74</v>
      </c>
      <c r="O5" s="34" t="s">
        <v>733</v>
      </c>
    </row>
    <row r="6" spans="1:15" s="381" customFormat="1" ht="22.5" customHeight="1" x14ac:dyDescent="0.2">
      <c r="A6" s="545"/>
      <c r="B6" s="545"/>
      <c r="C6" s="546" t="s">
        <v>769</v>
      </c>
      <c r="D6" s="546" t="s">
        <v>770</v>
      </c>
      <c r="E6" s="546" t="s">
        <v>644</v>
      </c>
      <c r="F6" s="546" t="s">
        <v>115</v>
      </c>
      <c r="G6" s="546" t="s">
        <v>116</v>
      </c>
      <c r="H6" s="546" t="s">
        <v>649</v>
      </c>
      <c r="I6" s="546" t="s">
        <v>771</v>
      </c>
      <c r="J6" s="34" t="s">
        <v>112</v>
      </c>
      <c r="K6" s="546" t="s">
        <v>772</v>
      </c>
      <c r="L6" s="546" t="s">
        <v>773</v>
      </c>
      <c r="M6" s="546" t="s">
        <v>774</v>
      </c>
      <c r="N6" s="546" t="s">
        <v>775</v>
      </c>
      <c r="O6" s="546" t="s">
        <v>776</v>
      </c>
    </row>
    <row r="7" spans="1:15" ht="15.6" customHeight="1" x14ac:dyDescent="0.2">
      <c r="A7" s="547">
        <v>1</v>
      </c>
      <c r="B7" s="548" t="s">
        <v>131</v>
      </c>
      <c r="C7" s="549">
        <f>'8_2.1.21 SIS'!BG7</f>
        <v>0</v>
      </c>
      <c r="D7" s="550">
        <f>'9_Per Pupil Summary'!S6</f>
        <v>8622.6964429385825</v>
      </c>
      <c r="E7" s="550">
        <f>ROUND(C7*D7,0)</f>
        <v>0</v>
      </c>
      <c r="F7" s="550"/>
      <c r="G7" s="550"/>
      <c r="H7" s="551">
        <f t="shared" ref="H7:H70" si="1">F7+G7</f>
        <v>0</v>
      </c>
      <c r="I7" s="552">
        <f>E7+H7</f>
        <v>0</v>
      </c>
      <c r="J7" s="550">
        <f>'[1]5A4_NOCCA'!$H7</f>
        <v>0</v>
      </c>
      <c r="K7" s="552">
        <f>ROUND(SUM(I7:J7),0)</f>
        <v>0</v>
      </c>
      <c r="L7" s="550"/>
      <c r="M7" s="550">
        <f>K7-L7</f>
        <v>0</v>
      </c>
      <c r="N7" s="552">
        <f t="shared" ref="N7:N70" si="2">ROUND(M7/$N$87,0)</f>
        <v>0</v>
      </c>
      <c r="O7" s="553">
        <f t="shared" ref="O7:O70" si="3">K7</f>
        <v>0</v>
      </c>
    </row>
    <row r="8" spans="1:15" ht="15.6" customHeight="1" x14ac:dyDescent="0.2">
      <c r="A8" s="424">
        <v>2</v>
      </c>
      <c r="B8" s="425" t="s">
        <v>132</v>
      </c>
      <c r="C8" s="554">
        <f>'8_2.1.21 SIS'!BG8</f>
        <v>0</v>
      </c>
      <c r="D8" s="427">
        <f>'9_Per Pupil Summary'!S7</f>
        <v>10428.450576725025</v>
      </c>
      <c r="E8" s="427">
        <f t="shared" ref="E8:E71" si="4">ROUND(C8*D8,0)</f>
        <v>0</v>
      </c>
      <c r="F8" s="427"/>
      <c r="G8" s="427"/>
      <c r="H8" s="431">
        <f t="shared" si="1"/>
        <v>0</v>
      </c>
      <c r="I8" s="430">
        <f t="shared" ref="I8:I71" si="5">E8+H8</f>
        <v>0</v>
      </c>
      <c r="J8" s="427">
        <f>'[1]5A4_NOCCA'!$H8</f>
        <v>0</v>
      </c>
      <c r="K8" s="430">
        <f t="shared" ref="K8:K71" si="6">ROUND(SUM(I8:J8),0)</f>
        <v>0</v>
      </c>
      <c r="L8" s="427"/>
      <c r="M8" s="427">
        <f t="shared" ref="M8:M71" si="7">K8-L8</f>
        <v>0</v>
      </c>
      <c r="N8" s="430">
        <f t="shared" si="2"/>
        <v>0</v>
      </c>
      <c r="O8" s="430">
        <f t="shared" si="3"/>
        <v>0</v>
      </c>
    </row>
    <row r="9" spans="1:15" ht="15.6" customHeight="1" x14ac:dyDescent="0.2">
      <c r="A9" s="424">
        <v>3</v>
      </c>
      <c r="B9" s="425" t="s">
        <v>133</v>
      </c>
      <c r="C9" s="554">
        <f>'8_2.1.21 SIS'!BG9</f>
        <v>0</v>
      </c>
      <c r="D9" s="427">
        <f>'9_Per Pupil Summary'!S8</f>
        <v>8524.0766371065911</v>
      </c>
      <c r="E9" s="427">
        <f t="shared" si="4"/>
        <v>0</v>
      </c>
      <c r="F9" s="427"/>
      <c r="G9" s="427"/>
      <c r="H9" s="431">
        <f t="shared" si="1"/>
        <v>0</v>
      </c>
      <c r="I9" s="430">
        <f t="shared" si="5"/>
        <v>0</v>
      </c>
      <c r="J9" s="427">
        <f>'[1]5A4_NOCCA'!$H9</f>
        <v>0</v>
      </c>
      <c r="K9" s="430">
        <f t="shared" si="6"/>
        <v>0</v>
      </c>
      <c r="L9" s="427"/>
      <c r="M9" s="427">
        <f t="shared" si="7"/>
        <v>0</v>
      </c>
      <c r="N9" s="430">
        <f t="shared" si="2"/>
        <v>0</v>
      </c>
      <c r="O9" s="430">
        <f t="shared" si="3"/>
        <v>0</v>
      </c>
    </row>
    <row r="10" spans="1:15" ht="15.6" customHeight="1" x14ac:dyDescent="0.2">
      <c r="A10" s="424">
        <v>4</v>
      </c>
      <c r="B10" s="425" t="s">
        <v>134</v>
      </c>
      <c r="C10" s="554">
        <f>'8_2.1.21 SIS'!BG10</f>
        <v>0</v>
      </c>
      <c r="D10" s="427">
        <f>'9_Per Pupil Summary'!S9</f>
        <v>10320.058942924688</v>
      </c>
      <c r="E10" s="427">
        <f t="shared" si="4"/>
        <v>0</v>
      </c>
      <c r="F10" s="427"/>
      <c r="G10" s="427"/>
      <c r="H10" s="431">
        <f t="shared" si="1"/>
        <v>0</v>
      </c>
      <c r="I10" s="430">
        <f t="shared" si="5"/>
        <v>0</v>
      </c>
      <c r="J10" s="427">
        <f>'[1]5A4_NOCCA'!$H10</f>
        <v>0</v>
      </c>
      <c r="K10" s="430">
        <f t="shared" si="6"/>
        <v>0</v>
      </c>
      <c r="L10" s="427"/>
      <c r="M10" s="427">
        <f t="shared" si="7"/>
        <v>0</v>
      </c>
      <c r="N10" s="430">
        <f t="shared" si="2"/>
        <v>0</v>
      </c>
      <c r="O10" s="430">
        <f t="shared" si="3"/>
        <v>0</v>
      </c>
    </row>
    <row r="11" spans="1:15" ht="15.6" customHeight="1" x14ac:dyDescent="0.2">
      <c r="A11" s="434">
        <v>5</v>
      </c>
      <c r="B11" s="435" t="s">
        <v>135</v>
      </c>
      <c r="C11" s="485">
        <f>'8_2.1.21 SIS'!BG11</f>
        <v>0</v>
      </c>
      <c r="D11" s="437">
        <f>'9_Per Pupil Summary'!S10</f>
        <v>8634.273484587402</v>
      </c>
      <c r="E11" s="437">
        <f t="shared" si="4"/>
        <v>0</v>
      </c>
      <c r="F11" s="437"/>
      <c r="G11" s="437"/>
      <c r="H11" s="441">
        <f t="shared" si="1"/>
        <v>0</v>
      </c>
      <c r="I11" s="440">
        <f t="shared" si="5"/>
        <v>0</v>
      </c>
      <c r="J11" s="437">
        <f>'[1]5A4_NOCCA'!$H11</f>
        <v>0</v>
      </c>
      <c r="K11" s="440">
        <f t="shared" si="6"/>
        <v>0</v>
      </c>
      <c r="L11" s="443"/>
      <c r="M11" s="437">
        <f t="shared" si="7"/>
        <v>0</v>
      </c>
      <c r="N11" s="444">
        <f t="shared" si="2"/>
        <v>0</v>
      </c>
      <c r="O11" s="444">
        <f t="shared" si="3"/>
        <v>0</v>
      </c>
    </row>
    <row r="12" spans="1:15" ht="15.6" customHeight="1" x14ac:dyDescent="0.2">
      <c r="A12" s="547">
        <v>6</v>
      </c>
      <c r="B12" s="548" t="s">
        <v>136</v>
      </c>
      <c r="C12" s="549">
        <f>'8_2.1.21 SIS'!BG12</f>
        <v>0</v>
      </c>
      <c r="D12" s="550">
        <f>'9_Per Pupil Summary'!S11</f>
        <v>9752.1017584369438</v>
      </c>
      <c r="E12" s="550">
        <f t="shared" si="4"/>
        <v>0</v>
      </c>
      <c r="F12" s="550"/>
      <c r="G12" s="550"/>
      <c r="H12" s="551">
        <f t="shared" si="1"/>
        <v>0</v>
      </c>
      <c r="I12" s="552">
        <f t="shared" si="5"/>
        <v>0</v>
      </c>
      <c r="J12" s="550">
        <f>'[1]5A4_NOCCA'!$H12</f>
        <v>0</v>
      </c>
      <c r="K12" s="552">
        <f t="shared" si="6"/>
        <v>0</v>
      </c>
      <c r="L12" s="550"/>
      <c r="M12" s="550">
        <f t="shared" si="7"/>
        <v>0</v>
      </c>
      <c r="N12" s="552">
        <f t="shared" si="2"/>
        <v>0</v>
      </c>
      <c r="O12" s="553">
        <f t="shared" si="3"/>
        <v>0</v>
      </c>
    </row>
    <row r="13" spans="1:15" ht="15.6" customHeight="1" x14ac:dyDescent="0.2">
      <c r="A13" s="424">
        <v>7</v>
      </c>
      <c r="B13" s="425" t="s">
        <v>137</v>
      </c>
      <c r="C13" s="554">
        <f>'8_2.1.21 SIS'!BG13</f>
        <v>0</v>
      </c>
      <c r="D13" s="427">
        <f>'9_Per Pupil Summary'!S12</f>
        <v>9579.2945121951216</v>
      </c>
      <c r="E13" s="427">
        <f t="shared" si="4"/>
        <v>0</v>
      </c>
      <c r="F13" s="427"/>
      <c r="G13" s="427"/>
      <c r="H13" s="431">
        <f t="shared" si="1"/>
        <v>0</v>
      </c>
      <c r="I13" s="430">
        <f t="shared" si="5"/>
        <v>0</v>
      </c>
      <c r="J13" s="427">
        <f>'[1]5A4_NOCCA'!$H13</f>
        <v>0</v>
      </c>
      <c r="K13" s="430">
        <f t="shared" si="6"/>
        <v>0</v>
      </c>
      <c r="L13" s="427"/>
      <c r="M13" s="427">
        <f t="shared" si="7"/>
        <v>0</v>
      </c>
      <c r="N13" s="430">
        <f t="shared" si="2"/>
        <v>0</v>
      </c>
      <c r="O13" s="430">
        <f t="shared" si="3"/>
        <v>0</v>
      </c>
    </row>
    <row r="14" spans="1:15" ht="15.6" customHeight="1" x14ac:dyDescent="0.2">
      <c r="A14" s="424">
        <v>8</v>
      </c>
      <c r="B14" s="425" t="s">
        <v>138</v>
      </c>
      <c r="C14" s="554">
        <f>'8_2.1.21 SIS'!BG14</f>
        <v>0</v>
      </c>
      <c r="D14" s="427">
        <f>'9_Per Pupil Summary'!S13</f>
        <v>9343.8343880326393</v>
      </c>
      <c r="E14" s="427">
        <f t="shared" si="4"/>
        <v>0</v>
      </c>
      <c r="F14" s="427"/>
      <c r="G14" s="427"/>
      <c r="H14" s="431">
        <f t="shared" si="1"/>
        <v>0</v>
      </c>
      <c r="I14" s="430">
        <f t="shared" si="5"/>
        <v>0</v>
      </c>
      <c r="J14" s="427">
        <f>'[1]5A4_NOCCA'!$H14</f>
        <v>0</v>
      </c>
      <c r="K14" s="430">
        <f t="shared" si="6"/>
        <v>0</v>
      </c>
      <c r="L14" s="427"/>
      <c r="M14" s="427">
        <f t="shared" si="7"/>
        <v>0</v>
      </c>
      <c r="N14" s="430">
        <f t="shared" si="2"/>
        <v>0</v>
      </c>
      <c r="O14" s="430">
        <f t="shared" si="3"/>
        <v>0</v>
      </c>
    </row>
    <row r="15" spans="1:15" ht="15.6" customHeight="1" x14ac:dyDescent="0.2">
      <c r="A15" s="424">
        <v>9</v>
      </c>
      <c r="B15" s="425" t="s">
        <v>139</v>
      </c>
      <c r="C15" s="554">
        <f>'8_2.1.21 SIS'!BG15</f>
        <v>0</v>
      </c>
      <c r="D15" s="427">
        <f>'9_Per Pupil Summary'!S14</f>
        <v>9224.1189218498184</v>
      </c>
      <c r="E15" s="427">
        <f t="shared" si="4"/>
        <v>0</v>
      </c>
      <c r="F15" s="427"/>
      <c r="G15" s="427"/>
      <c r="H15" s="431">
        <f t="shared" si="1"/>
        <v>0</v>
      </c>
      <c r="I15" s="430">
        <f t="shared" si="5"/>
        <v>0</v>
      </c>
      <c r="J15" s="427">
        <f>'[1]5A4_NOCCA'!$H15</f>
        <v>0</v>
      </c>
      <c r="K15" s="430">
        <f t="shared" si="6"/>
        <v>0</v>
      </c>
      <c r="L15" s="427"/>
      <c r="M15" s="427">
        <f t="shared" si="7"/>
        <v>0</v>
      </c>
      <c r="N15" s="430">
        <f t="shared" si="2"/>
        <v>0</v>
      </c>
      <c r="O15" s="430">
        <f t="shared" si="3"/>
        <v>0</v>
      </c>
    </row>
    <row r="16" spans="1:15" ht="15.6" customHeight="1" x14ac:dyDescent="0.2">
      <c r="A16" s="434">
        <v>10</v>
      </c>
      <c r="B16" s="435" t="s">
        <v>140</v>
      </c>
      <c r="C16" s="485">
        <f>'8_2.1.21 SIS'!BG16</f>
        <v>0</v>
      </c>
      <c r="D16" s="437">
        <f>'9_Per Pupil Summary'!S15</f>
        <v>8995.4376133402802</v>
      </c>
      <c r="E16" s="437">
        <f t="shared" si="4"/>
        <v>0</v>
      </c>
      <c r="F16" s="437"/>
      <c r="G16" s="437"/>
      <c r="H16" s="441">
        <f t="shared" si="1"/>
        <v>0</v>
      </c>
      <c r="I16" s="440">
        <f t="shared" si="5"/>
        <v>0</v>
      </c>
      <c r="J16" s="437">
        <f>'[1]5A4_NOCCA'!$H16</f>
        <v>0</v>
      </c>
      <c r="K16" s="440">
        <f t="shared" si="6"/>
        <v>0</v>
      </c>
      <c r="L16" s="443"/>
      <c r="M16" s="437">
        <f t="shared" si="7"/>
        <v>0</v>
      </c>
      <c r="N16" s="444">
        <f t="shared" si="2"/>
        <v>0</v>
      </c>
      <c r="O16" s="444">
        <f t="shared" si="3"/>
        <v>0</v>
      </c>
    </row>
    <row r="17" spans="1:15" ht="15.6" customHeight="1" x14ac:dyDescent="0.2">
      <c r="A17" s="547">
        <v>11</v>
      </c>
      <c r="B17" s="548" t="s">
        <v>141</v>
      </c>
      <c r="C17" s="549">
        <f>'8_2.1.21 SIS'!BG17</f>
        <v>0</v>
      </c>
      <c r="D17" s="550">
        <f>'9_Per Pupil Summary'!S16</f>
        <v>11326.541657754011</v>
      </c>
      <c r="E17" s="550">
        <f t="shared" si="4"/>
        <v>0</v>
      </c>
      <c r="F17" s="550"/>
      <c r="G17" s="550"/>
      <c r="H17" s="551">
        <f t="shared" si="1"/>
        <v>0</v>
      </c>
      <c r="I17" s="552">
        <f t="shared" si="5"/>
        <v>0</v>
      </c>
      <c r="J17" s="550">
        <f>'[1]5A4_NOCCA'!$H17</f>
        <v>0</v>
      </c>
      <c r="K17" s="552">
        <f t="shared" si="6"/>
        <v>0</v>
      </c>
      <c r="L17" s="550"/>
      <c r="M17" s="550">
        <f t="shared" si="7"/>
        <v>0</v>
      </c>
      <c r="N17" s="552">
        <f t="shared" si="2"/>
        <v>0</v>
      </c>
      <c r="O17" s="553">
        <f t="shared" si="3"/>
        <v>0</v>
      </c>
    </row>
    <row r="18" spans="1:15" ht="15.6" customHeight="1" x14ac:dyDescent="0.2">
      <c r="A18" s="424">
        <v>12</v>
      </c>
      <c r="B18" s="425" t="s">
        <v>142</v>
      </c>
      <c r="C18" s="554">
        <f>'8_2.1.21 SIS'!BG18</f>
        <v>0</v>
      </c>
      <c r="D18" s="427">
        <f>'9_Per Pupil Summary'!S17</f>
        <v>10349.101671087534</v>
      </c>
      <c r="E18" s="427">
        <f t="shared" si="4"/>
        <v>0</v>
      </c>
      <c r="F18" s="427"/>
      <c r="G18" s="427"/>
      <c r="H18" s="431">
        <f t="shared" si="1"/>
        <v>0</v>
      </c>
      <c r="I18" s="430">
        <f t="shared" si="5"/>
        <v>0</v>
      </c>
      <c r="J18" s="427">
        <f>'[1]5A4_NOCCA'!$H18</f>
        <v>0</v>
      </c>
      <c r="K18" s="430">
        <f t="shared" si="6"/>
        <v>0</v>
      </c>
      <c r="L18" s="427"/>
      <c r="M18" s="427">
        <f t="shared" si="7"/>
        <v>0</v>
      </c>
      <c r="N18" s="430">
        <f t="shared" si="2"/>
        <v>0</v>
      </c>
      <c r="O18" s="430">
        <f t="shared" si="3"/>
        <v>0</v>
      </c>
    </row>
    <row r="19" spans="1:15" ht="15.6" customHeight="1" x14ac:dyDescent="0.2">
      <c r="A19" s="424">
        <v>13</v>
      </c>
      <c r="B19" s="425" t="s">
        <v>143</v>
      </c>
      <c r="C19" s="554">
        <f>'8_2.1.21 SIS'!BG19</f>
        <v>0</v>
      </c>
      <c r="D19" s="427">
        <f>'9_Per Pupil Summary'!S18</f>
        <v>10789.676720475787</v>
      </c>
      <c r="E19" s="427">
        <f t="shared" si="4"/>
        <v>0</v>
      </c>
      <c r="F19" s="427"/>
      <c r="G19" s="427"/>
      <c r="H19" s="431">
        <f t="shared" si="1"/>
        <v>0</v>
      </c>
      <c r="I19" s="430">
        <f t="shared" si="5"/>
        <v>0</v>
      </c>
      <c r="J19" s="427">
        <f>'[1]5A4_NOCCA'!$H19</f>
        <v>0</v>
      </c>
      <c r="K19" s="430">
        <f t="shared" si="6"/>
        <v>0</v>
      </c>
      <c r="L19" s="427"/>
      <c r="M19" s="427">
        <f t="shared" si="7"/>
        <v>0</v>
      </c>
      <c r="N19" s="430">
        <f t="shared" si="2"/>
        <v>0</v>
      </c>
      <c r="O19" s="430">
        <f t="shared" si="3"/>
        <v>0</v>
      </c>
    </row>
    <row r="20" spans="1:15" ht="15.6" customHeight="1" x14ac:dyDescent="0.2">
      <c r="A20" s="424">
        <v>14</v>
      </c>
      <c r="B20" s="425" t="s">
        <v>144</v>
      </c>
      <c r="C20" s="554">
        <f>'8_2.1.21 SIS'!BG20</f>
        <v>0</v>
      </c>
      <c r="D20" s="427">
        <f>'9_Per Pupil Summary'!S19</f>
        <v>11827.515594405595</v>
      </c>
      <c r="E20" s="427">
        <f t="shared" si="4"/>
        <v>0</v>
      </c>
      <c r="F20" s="427"/>
      <c r="G20" s="427"/>
      <c r="H20" s="431">
        <f t="shared" si="1"/>
        <v>0</v>
      </c>
      <c r="I20" s="430">
        <f t="shared" si="5"/>
        <v>0</v>
      </c>
      <c r="J20" s="427">
        <f>'[1]5A4_NOCCA'!$H20</f>
        <v>0</v>
      </c>
      <c r="K20" s="430">
        <f t="shared" si="6"/>
        <v>0</v>
      </c>
      <c r="L20" s="427"/>
      <c r="M20" s="427">
        <f t="shared" si="7"/>
        <v>0</v>
      </c>
      <c r="N20" s="430">
        <f t="shared" si="2"/>
        <v>0</v>
      </c>
      <c r="O20" s="430">
        <f t="shared" si="3"/>
        <v>0</v>
      </c>
    </row>
    <row r="21" spans="1:15" ht="15.6" customHeight="1" x14ac:dyDescent="0.2">
      <c r="A21" s="434">
        <v>15</v>
      </c>
      <c r="B21" s="435" t="s">
        <v>145</v>
      </c>
      <c r="C21" s="485">
        <f>'8_2.1.21 SIS'!BG21</f>
        <v>0</v>
      </c>
      <c r="D21" s="437">
        <f>'9_Per Pupil Summary'!S20</f>
        <v>10278.433874709975</v>
      </c>
      <c r="E21" s="437">
        <f t="shared" si="4"/>
        <v>0</v>
      </c>
      <c r="F21" s="437"/>
      <c r="G21" s="437"/>
      <c r="H21" s="441">
        <f t="shared" si="1"/>
        <v>0</v>
      </c>
      <c r="I21" s="440">
        <f t="shared" si="5"/>
        <v>0</v>
      </c>
      <c r="J21" s="437">
        <f>'[1]5A4_NOCCA'!$H21</f>
        <v>0</v>
      </c>
      <c r="K21" s="440">
        <f t="shared" si="6"/>
        <v>0</v>
      </c>
      <c r="L21" s="443"/>
      <c r="M21" s="437">
        <f t="shared" si="7"/>
        <v>0</v>
      </c>
      <c r="N21" s="444">
        <f t="shared" si="2"/>
        <v>0</v>
      </c>
      <c r="O21" s="444">
        <f t="shared" si="3"/>
        <v>0</v>
      </c>
    </row>
    <row r="22" spans="1:15" ht="15.6" customHeight="1" x14ac:dyDescent="0.2">
      <c r="A22" s="547">
        <v>16</v>
      </c>
      <c r="B22" s="548" t="s">
        <v>146</v>
      </c>
      <c r="C22" s="549">
        <f>'8_2.1.21 SIS'!BG22</f>
        <v>0</v>
      </c>
      <c r="D22" s="550">
        <f>'9_Per Pupil Summary'!S21</f>
        <v>8575.9597860962567</v>
      </c>
      <c r="E22" s="550">
        <f t="shared" si="4"/>
        <v>0</v>
      </c>
      <c r="F22" s="550"/>
      <c r="G22" s="550"/>
      <c r="H22" s="551">
        <f t="shared" si="1"/>
        <v>0</v>
      </c>
      <c r="I22" s="552">
        <f t="shared" si="5"/>
        <v>0</v>
      </c>
      <c r="J22" s="550">
        <f>'[1]5A4_NOCCA'!$H22</f>
        <v>0</v>
      </c>
      <c r="K22" s="552">
        <f t="shared" si="6"/>
        <v>0</v>
      </c>
      <c r="L22" s="550"/>
      <c r="M22" s="550">
        <f t="shared" si="7"/>
        <v>0</v>
      </c>
      <c r="N22" s="552">
        <f t="shared" si="2"/>
        <v>0</v>
      </c>
      <c r="O22" s="553">
        <f t="shared" si="3"/>
        <v>0</v>
      </c>
    </row>
    <row r="23" spans="1:15" ht="15.6" customHeight="1" x14ac:dyDescent="0.2">
      <c r="A23" s="424">
        <v>17</v>
      </c>
      <c r="B23" s="425" t="s">
        <v>147</v>
      </c>
      <c r="C23" s="554">
        <f>'8_2.1.21 SIS'!BG23</f>
        <v>0</v>
      </c>
      <c r="D23" s="427">
        <f>'9_Per Pupil Summary'!S22</f>
        <v>9012.4668992093539</v>
      </c>
      <c r="E23" s="427">
        <f t="shared" si="4"/>
        <v>0</v>
      </c>
      <c r="F23" s="427"/>
      <c r="G23" s="427"/>
      <c r="H23" s="431">
        <f t="shared" si="1"/>
        <v>0</v>
      </c>
      <c r="I23" s="430">
        <f t="shared" si="5"/>
        <v>0</v>
      </c>
      <c r="J23" s="427">
        <f>'[1]5A4_NOCCA'!$H23</f>
        <v>0</v>
      </c>
      <c r="K23" s="430">
        <f t="shared" si="6"/>
        <v>0</v>
      </c>
      <c r="L23" s="427"/>
      <c r="M23" s="427">
        <f t="shared" si="7"/>
        <v>0</v>
      </c>
      <c r="N23" s="430">
        <f t="shared" si="2"/>
        <v>0</v>
      </c>
      <c r="O23" s="430">
        <f t="shared" si="3"/>
        <v>0</v>
      </c>
    </row>
    <row r="24" spans="1:15" ht="15.6" customHeight="1" x14ac:dyDescent="0.2">
      <c r="A24" s="424">
        <v>18</v>
      </c>
      <c r="B24" s="425" t="s">
        <v>148</v>
      </c>
      <c r="C24" s="554">
        <f>'8_2.1.21 SIS'!BG24</f>
        <v>0</v>
      </c>
      <c r="D24" s="427">
        <f>'9_Per Pupil Summary'!S23</f>
        <v>10490.525317559153</v>
      </c>
      <c r="E24" s="427">
        <f t="shared" si="4"/>
        <v>0</v>
      </c>
      <c r="F24" s="427"/>
      <c r="G24" s="427"/>
      <c r="H24" s="431">
        <f t="shared" si="1"/>
        <v>0</v>
      </c>
      <c r="I24" s="430">
        <f t="shared" si="5"/>
        <v>0</v>
      </c>
      <c r="J24" s="427">
        <f>'[1]5A4_NOCCA'!$H24</f>
        <v>0</v>
      </c>
      <c r="K24" s="430">
        <f t="shared" si="6"/>
        <v>0</v>
      </c>
      <c r="L24" s="427"/>
      <c r="M24" s="427">
        <f t="shared" si="7"/>
        <v>0</v>
      </c>
      <c r="N24" s="430">
        <f t="shared" si="2"/>
        <v>0</v>
      </c>
      <c r="O24" s="430">
        <f t="shared" si="3"/>
        <v>0</v>
      </c>
    </row>
    <row r="25" spans="1:15" ht="15.6" customHeight="1" x14ac:dyDescent="0.2">
      <c r="A25" s="424">
        <v>19</v>
      </c>
      <c r="B25" s="425" t="s">
        <v>149</v>
      </c>
      <c r="C25" s="554">
        <f>'8_2.1.21 SIS'!BG25</f>
        <v>0</v>
      </c>
      <c r="D25" s="427">
        <f>'9_Per Pupil Summary'!S24</f>
        <v>10120.741296625223</v>
      </c>
      <c r="E25" s="427">
        <f t="shared" si="4"/>
        <v>0</v>
      </c>
      <c r="F25" s="427"/>
      <c r="G25" s="427"/>
      <c r="H25" s="431">
        <f t="shared" si="1"/>
        <v>0</v>
      </c>
      <c r="I25" s="430">
        <f t="shared" si="5"/>
        <v>0</v>
      </c>
      <c r="J25" s="427">
        <f>'[1]5A4_NOCCA'!$H25</f>
        <v>0</v>
      </c>
      <c r="K25" s="430">
        <f t="shared" si="6"/>
        <v>0</v>
      </c>
      <c r="L25" s="427"/>
      <c r="M25" s="427">
        <f t="shared" si="7"/>
        <v>0</v>
      </c>
      <c r="N25" s="430">
        <f t="shared" si="2"/>
        <v>0</v>
      </c>
      <c r="O25" s="430">
        <f t="shared" si="3"/>
        <v>0</v>
      </c>
    </row>
    <row r="26" spans="1:15" ht="15.6" customHeight="1" x14ac:dyDescent="0.2">
      <c r="A26" s="434">
        <v>20</v>
      </c>
      <c r="B26" s="435" t="s">
        <v>150</v>
      </c>
      <c r="C26" s="485">
        <f>'8_2.1.21 SIS'!BG26</f>
        <v>0</v>
      </c>
      <c r="D26" s="437">
        <f>'9_Per Pupil Summary'!S25</f>
        <v>9440.8496085538245</v>
      </c>
      <c r="E26" s="437">
        <f t="shared" si="4"/>
        <v>0</v>
      </c>
      <c r="F26" s="437"/>
      <c r="G26" s="437"/>
      <c r="H26" s="441">
        <f t="shared" si="1"/>
        <v>0</v>
      </c>
      <c r="I26" s="440">
        <f t="shared" si="5"/>
        <v>0</v>
      </c>
      <c r="J26" s="437">
        <f>'[1]5A4_NOCCA'!$H26</f>
        <v>0</v>
      </c>
      <c r="K26" s="440">
        <f t="shared" si="6"/>
        <v>0</v>
      </c>
      <c r="L26" s="443"/>
      <c r="M26" s="437">
        <f t="shared" si="7"/>
        <v>0</v>
      </c>
      <c r="N26" s="444">
        <f t="shared" si="2"/>
        <v>0</v>
      </c>
      <c r="O26" s="444">
        <f t="shared" si="3"/>
        <v>0</v>
      </c>
    </row>
    <row r="27" spans="1:15" ht="15.6" customHeight="1" x14ac:dyDescent="0.2">
      <c r="A27" s="547">
        <v>21</v>
      </c>
      <c r="B27" s="548" t="s">
        <v>151</v>
      </c>
      <c r="C27" s="549">
        <f>'8_2.1.21 SIS'!BG27</f>
        <v>0</v>
      </c>
      <c r="D27" s="550">
        <f>'9_Per Pupil Summary'!S26</f>
        <v>10076.676877470356</v>
      </c>
      <c r="E27" s="550">
        <f t="shared" si="4"/>
        <v>0</v>
      </c>
      <c r="F27" s="550"/>
      <c r="G27" s="550"/>
      <c r="H27" s="551">
        <f t="shared" si="1"/>
        <v>0</v>
      </c>
      <c r="I27" s="552">
        <f t="shared" si="5"/>
        <v>0</v>
      </c>
      <c r="J27" s="550">
        <f>'[1]5A4_NOCCA'!$H27</f>
        <v>0</v>
      </c>
      <c r="K27" s="552">
        <f t="shared" si="6"/>
        <v>0</v>
      </c>
      <c r="L27" s="550"/>
      <c r="M27" s="550">
        <f t="shared" si="7"/>
        <v>0</v>
      </c>
      <c r="N27" s="552">
        <f t="shared" si="2"/>
        <v>0</v>
      </c>
      <c r="O27" s="553">
        <f t="shared" si="3"/>
        <v>0</v>
      </c>
    </row>
    <row r="28" spans="1:15" ht="15.6" customHeight="1" x14ac:dyDescent="0.2">
      <c r="A28" s="424">
        <v>22</v>
      </c>
      <c r="B28" s="425" t="s">
        <v>152</v>
      </c>
      <c r="C28" s="554">
        <f>'8_2.1.21 SIS'!BG28</f>
        <v>0</v>
      </c>
      <c r="D28" s="427">
        <f>'9_Per Pupil Summary'!S27</f>
        <v>10046.936225680933</v>
      </c>
      <c r="E28" s="427">
        <f t="shared" si="4"/>
        <v>0</v>
      </c>
      <c r="F28" s="427"/>
      <c r="G28" s="427"/>
      <c r="H28" s="431">
        <f t="shared" si="1"/>
        <v>0</v>
      </c>
      <c r="I28" s="430">
        <f t="shared" si="5"/>
        <v>0</v>
      </c>
      <c r="J28" s="427">
        <f>'[1]5A4_NOCCA'!$H28</f>
        <v>0</v>
      </c>
      <c r="K28" s="430">
        <f t="shared" si="6"/>
        <v>0</v>
      </c>
      <c r="L28" s="427"/>
      <c r="M28" s="427">
        <f t="shared" si="7"/>
        <v>0</v>
      </c>
      <c r="N28" s="430">
        <f t="shared" si="2"/>
        <v>0</v>
      </c>
      <c r="O28" s="430">
        <f t="shared" si="3"/>
        <v>0</v>
      </c>
    </row>
    <row r="29" spans="1:15" ht="15.6" customHeight="1" x14ac:dyDescent="0.2">
      <c r="A29" s="424">
        <v>23</v>
      </c>
      <c r="B29" s="425" t="s">
        <v>153</v>
      </c>
      <c r="C29" s="554">
        <f>'8_2.1.21 SIS'!BG29</f>
        <v>0</v>
      </c>
      <c r="D29" s="427">
        <f>'9_Per Pupil Summary'!S28</f>
        <v>9609.2676525901861</v>
      </c>
      <c r="E29" s="427">
        <f t="shared" si="4"/>
        <v>0</v>
      </c>
      <c r="F29" s="427"/>
      <c r="G29" s="427"/>
      <c r="H29" s="431">
        <f t="shared" si="1"/>
        <v>0</v>
      </c>
      <c r="I29" s="430">
        <f t="shared" si="5"/>
        <v>0</v>
      </c>
      <c r="J29" s="427">
        <f>'[1]5A4_NOCCA'!$H29</f>
        <v>0</v>
      </c>
      <c r="K29" s="430">
        <f t="shared" si="6"/>
        <v>0</v>
      </c>
      <c r="L29" s="427"/>
      <c r="M29" s="427">
        <f t="shared" si="7"/>
        <v>0</v>
      </c>
      <c r="N29" s="430">
        <f t="shared" si="2"/>
        <v>0</v>
      </c>
      <c r="O29" s="430">
        <f t="shared" si="3"/>
        <v>0</v>
      </c>
    </row>
    <row r="30" spans="1:15" ht="15.6" customHeight="1" x14ac:dyDescent="0.2">
      <c r="A30" s="424">
        <v>24</v>
      </c>
      <c r="B30" s="425" t="s">
        <v>154</v>
      </c>
      <c r="C30" s="554">
        <f>'8_2.1.21 SIS'!BG30</f>
        <v>0</v>
      </c>
      <c r="D30" s="427">
        <f>'9_Per Pupil Summary'!S29</f>
        <v>9353.5173744619806</v>
      </c>
      <c r="E30" s="427">
        <f t="shared" si="4"/>
        <v>0</v>
      </c>
      <c r="F30" s="427"/>
      <c r="G30" s="427"/>
      <c r="H30" s="431">
        <f t="shared" si="1"/>
        <v>0</v>
      </c>
      <c r="I30" s="430">
        <f t="shared" si="5"/>
        <v>0</v>
      </c>
      <c r="J30" s="427">
        <f>'[1]5A4_NOCCA'!$H30</f>
        <v>0</v>
      </c>
      <c r="K30" s="430">
        <f t="shared" si="6"/>
        <v>0</v>
      </c>
      <c r="L30" s="427"/>
      <c r="M30" s="427">
        <f t="shared" si="7"/>
        <v>0</v>
      </c>
      <c r="N30" s="430">
        <f t="shared" si="2"/>
        <v>0</v>
      </c>
      <c r="O30" s="430">
        <f t="shared" si="3"/>
        <v>0</v>
      </c>
    </row>
    <row r="31" spans="1:15" ht="15.6" customHeight="1" x14ac:dyDescent="0.2">
      <c r="A31" s="434">
        <v>25</v>
      </c>
      <c r="B31" s="435" t="s">
        <v>155</v>
      </c>
      <c r="C31" s="485">
        <f>'8_2.1.21 SIS'!BG31</f>
        <v>0</v>
      </c>
      <c r="D31" s="437">
        <f>'9_Per Pupil Summary'!S30</f>
        <v>9970.9650491343</v>
      </c>
      <c r="E31" s="437">
        <f t="shared" si="4"/>
        <v>0</v>
      </c>
      <c r="F31" s="437"/>
      <c r="G31" s="437"/>
      <c r="H31" s="441">
        <f t="shared" si="1"/>
        <v>0</v>
      </c>
      <c r="I31" s="440">
        <f t="shared" si="5"/>
        <v>0</v>
      </c>
      <c r="J31" s="437">
        <f>'[1]5A4_NOCCA'!$H31</f>
        <v>0</v>
      </c>
      <c r="K31" s="440">
        <f t="shared" si="6"/>
        <v>0</v>
      </c>
      <c r="L31" s="443"/>
      <c r="M31" s="437">
        <f t="shared" si="7"/>
        <v>0</v>
      </c>
      <c r="N31" s="444">
        <f t="shared" si="2"/>
        <v>0</v>
      </c>
      <c r="O31" s="444">
        <f t="shared" si="3"/>
        <v>0</v>
      </c>
    </row>
    <row r="32" spans="1:15" ht="15.6" customHeight="1" x14ac:dyDescent="0.2">
      <c r="A32" s="547">
        <v>26</v>
      </c>
      <c r="B32" s="548" t="s">
        <v>156</v>
      </c>
      <c r="C32" s="549">
        <f>'8_2.1.21 SIS'!BG32</f>
        <v>35</v>
      </c>
      <c r="D32" s="550">
        <f>'9_Per Pupil Summary'!S31</f>
        <v>9442.5982912636937</v>
      </c>
      <c r="E32" s="550">
        <f t="shared" si="4"/>
        <v>330491</v>
      </c>
      <c r="F32" s="550"/>
      <c r="G32" s="550"/>
      <c r="H32" s="551">
        <f t="shared" si="1"/>
        <v>0</v>
      </c>
      <c r="I32" s="552">
        <f t="shared" si="5"/>
        <v>330491</v>
      </c>
      <c r="J32" s="550">
        <f>'[1]5A4_NOCCA'!$H32</f>
        <v>0</v>
      </c>
      <c r="K32" s="552">
        <f t="shared" si="6"/>
        <v>330491</v>
      </c>
      <c r="L32" s="550"/>
      <c r="M32" s="550">
        <f t="shared" si="7"/>
        <v>330491</v>
      </c>
      <c r="N32" s="552">
        <f t="shared" si="2"/>
        <v>27541</v>
      </c>
      <c r="O32" s="553">
        <f t="shared" si="3"/>
        <v>330491</v>
      </c>
    </row>
    <row r="33" spans="1:15" ht="15.6" customHeight="1" x14ac:dyDescent="0.2">
      <c r="A33" s="424">
        <v>27</v>
      </c>
      <c r="B33" s="425" t="s">
        <v>157</v>
      </c>
      <c r="C33" s="554">
        <f>'8_2.1.21 SIS'!BG33</f>
        <v>0</v>
      </c>
      <c r="D33" s="427">
        <f>'9_Per Pupil Summary'!S32</f>
        <v>10120.503559636432</v>
      </c>
      <c r="E33" s="427">
        <f t="shared" si="4"/>
        <v>0</v>
      </c>
      <c r="F33" s="427"/>
      <c r="G33" s="427"/>
      <c r="H33" s="431">
        <f t="shared" si="1"/>
        <v>0</v>
      </c>
      <c r="I33" s="430">
        <f t="shared" si="5"/>
        <v>0</v>
      </c>
      <c r="J33" s="427">
        <f>'[1]5A4_NOCCA'!$H33</f>
        <v>0</v>
      </c>
      <c r="K33" s="430">
        <f t="shared" si="6"/>
        <v>0</v>
      </c>
      <c r="L33" s="427"/>
      <c r="M33" s="427">
        <f t="shared" si="7"/>
        <v>0</v>
      </c>
      <c r="N33" s="430">
        <f t="shared" si="2"/>
        <v>0</v>
      </c>
      <c r="O33" s="430">
        <f t="shared" si="3"/>
        <v>0</v>
      </c>
    </row>
    <row r="34" spans="1:15" ht="15.6" customHeight="1" x14ac:dyDescent="0.2">
      <c r="A34" s="424">
        <v>28</v>
      </c>
      <c r="B34" s="425" t="s">
        <v>158</v>
      </c>
      <c r="C34" s="554">
        <f>'8_2.1.21 SIS'!BG34</f>
        <v>0</v>
      </c>
      <c r="D34" s="427">
        <f>'9_Per Pupil Summary'!S33</f>
        <v>8639.8320657906497</v>
      </c>
      <c r="E34" s="427">
        <f t="shared" si="4"/>
        <v>0</v>
      </c>
      <c r="F34" s="427"/>
      <c r="G34" s="427"/>
      <c r="H34" s="431">
        <f t="shared" si="1"/>
        <v>0</v>
      </c>
      <c r="I34" s="430">
        <f t="shared" si="5"/>
        <v>0</v>
      </c>
      <c r="J34" s="427">
        <f>'[1]5A4_NOCCA'!$H34</f>
        <v>0</v>
      </c>
      <c r="K34" s="430">
        <f t="shared" si="6"/>
        <v>0</v>
      </c>
      <c r="L34" s="427"/>
      <c r="M34" s="427">
        <f t="shared" si="7"/>
        <v>0</v>
      </c>
      <c r="N34" s="430">
        <f t="shared" si="2"/>
        <v>0</v>
      </c>
      <c r="O34" s="430">
        <f t="shared" si="3"/>
        <v>0</v>
      </c>
    </row>
    <row r="35" spans="1:15" ht="15.6" customHeight="1" x14ac:dyDescent="0.2">
      <c r="A35" s="424">
        <v>29</v>
      </c>
      <c r="B35" s="425" t="s">
        <v>159</v>
      </c>
      <c r="C35" s="554">
        <f>'8_2.1.21 SIS'!BG35</f>
        <v>0</v>
      </c>
      <c r="D35" s="427">
        <f>'9_Per Pupil Summary'!S34</f>
        <v>8903.7948520920945</v>
      </c>
      <c r="E35" s="427">
        <f t="shared" si="4"/>
        <v>0</v>
      </c>
      <c r="F35" s="427"/>
      <c r="G35" s="427"/>
      <c r="H35" s="431">
        <f t="shared" si="1"/>
        <v>0</v>
      </c>
      <c r="I35" s="430">
        <f t="shared" si="5"/>
        <v>0</v>
      </c>
      <c r="J35" s="427">
        <f>'[1]5A4_NOCCA'!$H35</f>
        <v>0</v>
      </c>
      <c r="K35" s="430">
        <f t="shared" si="6"/>
        <v>0</v>
      </c>
      <c r="L35" s="427"/>
      <c r="M35" s="427">
        <f t="shared" si="7"/>
        <v>0</v>
      </c>
      <c r="N35" s="430">
        <f t="shared" si="2"/>
        <v>0</v>
      </c>
      <c r="O35" s="430">
        <f t="shared" si="3"/>
        <v>0</v>
      </c>
    </row>
    <row r="36" spans="1:15" ht="15.6" customHeight="1" x14ac:dyDescent="0.2">
      <c r="A36" s="434">
        <v>30</v>
      </c>
      <c r="B36" s="435" t="s">
        <v>160</v>
      </c>
      <c r="C36" s="485">
        <f>'8_2.1.21 SIS'!BG36</f>
        <v>0</v>
      </c>
      <c r="D36" s="437">
        <f>'9_Per Pupil Summary'!S35</f>
        <v>10156.06742411813</v>
      </c>
      <c r="E36" s="437">
        <f t="shared" si="4"/>
        <v>0</v>
      </c>
      <c r="F36" s="437"/>
      <c r="G36" s="437"/>
      <c r="H36" s="441">
        <f t="shared" si="1"/>
        <v>0</v>
      </c>
      <c r="I36" s="440">
        <f t="shared" si="5"/>
        <v>0</v>
      </c>
      <c r="J36" s="437">
        <f>'[1]5A4_NOCCA'!$H36</f>
        <v>0</v>
      </c>
      <c r="K36" s="440">
        <f t="shared" si="6"/>
        <v>0</v>
      </c>
      <c r="L36" s="443"/>
      <c r="M36" s="437">
        <f t="shared" si="7"/>
        <v>0</v>
      </c>
      <c r="N36" s="444">
        <f t="shared" si="2"/>
        <v>0</v>
      </c>
      <c r="O36" s="444">
        <f t="shared" si="3"/>
        <v>0</v>
      </c>
    </row>
    <row r="37" spans="1:15" ht="15.6" customHeight="1" x14ac:dyDescent="0.2">
      <c r="A37" s="547">
        <v>31</v>
      </c>
      <c r="B37" s="548" t="s">
        <v>161</v>
      </c>
      <c r="C37" s="549">
        <f>'8_2.1.21 SIS'!BG37</f>
        <v>0</v>
      </c>
      <c r="D37" s="550">
        <f>'9_Per Pupil Summary'!S36</f>
        <v>9660.7198193760269</v>
      </c>
      <c r="E37" s="550">
        <f t="shared" si="4"/>
        <v>0</v>
      </c>
      <c r="F37" s="550"/>
      <c r="G37" s="550"/>
      <c r="H37" s="551">
        <f t="shared" si="1"/>
        <v>0</v>
      </c>
      <c r="I37" s="552">
        <f t="shared" si="5"/>
        <v>0</v>
      </c>
      <c r="J37" s="550">
        <f>'[1]5A4_NOCCA'!$H37</f>
        <v>0</v>
      </c>
      <c r="K37" s="552">
        <f t="shared" si="6"/>
        <v>0</v>
      </c>
      <c r="L37" s="550"/>
      <c r="M37" s="550">
        <f t="shared" si="7"/>
        <v>0</v>
      </c>
      <c r="N37" s="552">
        <f t="shared" si="2"/>
        <v>0</v>
      </c>
      <c r="O37" s="553">
        <f t="shared" si="3"/>
        <v>0</v>
      </c>
    </row>
    <row r="38" spans="1:15" ht="15.6" customHeight="1" x14ac:dyDescent="0.2">
      <c r="A38" s="424">
        <v>32</v>
      </c>
      <c r="B38" s="425" t="s">
        <v>162</v>
      </c>
      <c r="C38" s="554">
        <f>'8_2.1.21 SIS'!BG38</f>
        <v>0</v>
      </c>
      <c r="D38" s="427">
        <f>'9_Per Pupil Summary'!S37</f>
        <v>9496.9261784675073</v>
      </c>
      <c r="E38" s="427">
        <f t="shared" si="4"/>
        <v>0</v>
      </c>
      <c r="F38" s="427"/>
      <c r="G38" s="427"/>
      <c r="H38" s="431">
        <f t="shared" si="1"/>
        <v>0</v>
      </c>
      <c r="I38" s="430">
        <f t="shared" si="5"/>
        <v>0</v>
      </c>
      <c r="J38" s="427">
        <f>'[1]5A4_NOCCA'!$H38</f>
        <v>0</v>
      </c>
      <c r="K38" s="430">
        <f t="shared" si="6"/>
        <v>0</v>
      </c>
      <c r="L38" s="427"/>
      <c r="M38" s="427">
        <f t="shared" si="7"/>
        <v>0</v>
      </c>
      <c r="N38" s="430">
        <f t="shared" si="2"/>
        <v>0</v>
      </c>
      <c r="O38" s="430">
        <f t="shared" si="3"/>
        <v>0</v>
      </c>
    </row>
    <row r="39" spans="1:15" ht="15.6" customHeight="1" x14ac:dyDescent="0.2">
      <c r="A39" s="424">
        <v>33</v>
      </c>
      <c r="B39" s="425" t="s">
        <v>163</v>
      </c>
      <c r="C39" s="554">
        <f>'8_2.1.21 SIS'!BG39</f>
        <v>0</v>
      </c>
      <c r="D39" s="427">
        <f>'9_Per Pupil Summary'!S38</f>
        <v>10861.667897091724</v>
      </c>
      <c r="E39" s="427">
        <f t="shared" si="4"/>
        <v>0</v>
      </c>
      <c r="F39" s="427"/>
      <c r="G39" s="427"/>
      <c r="H39" s="431">
        <f t="shared" si="1"/>
        <v>0</v>
      </c>
      <c r="I39" s="430">
        <f t="shared" si="5"/>
        <v>0</v>
      </c>
      <c r="J39" s="427">
        <f>'[1]5A4_NOCCA'!$H39</f>
        <v>0</v>
      </c>
      <c r="K39" s="430">
        <f t="shared" si="6"/>
        <v>0</v>
      </c>
      <c r="L39" s="427"/>
      <c r="M39" s="427">
        <f t="shared" si="7"/>
        <v>0</v>
      </c>
      <c r="N39" s="430">
        <f t="shared" si="2"/>
        <v>0</v>
      </c>
      <c r="O39" s="430">
        <f t="shared" si="3"/>
        <v>0</v>
      </c>
    </row>
    <row r="40" spans="1:15" ht="15.6" customHeight="1" x14ac:dyDescent="0.2">
      <c r="A40" s="424">
        <v>34</v>
      </c>
      <c r="B40" s="425" t="s">
        <v>164</v>
      </c>
      <c r="C40" s="554">
        <f>'8_2.1.21 SIS'!BG40</f>
        <v>0</v>
      </c>
      <c r="D40" s="427">
        <f>'9_Per Pupil Summary'!S39</f>
        <v>10761.851322561341</v>
      </c>
      <c r="E40" s="427">
        <f t="shared" si="4"/>
        <v>0</v>
      </c>
      <c r="F40" s="427"/>
      <c r="G40" s="427"/>
      <c r="H40" s="431">
        <f t="shared" si="1"/>
        <v>0</v>
      </c>
      <c r="I40" s="430">
        <f t="shared" si="5"/>
        <v>0</v>
      </c>
      <c r="J40" s="427">
        <f>'[1]5A4_NOCCA'!$H40</f>
        <v>0</v>
      </c>
      <c r="K40" s="430">
        <f t="shared" si="6"/>
        <v>0</v>
      </c>
      <c r="L40" s="427"/>
      <c r="M40" s="427">
        <f t="shared" si="7"/>
        <v>0</v>
      </c>
      <c r="N40" s="430">
        <f t="shared" si="2"/>
        <v>0</v>
      </c>
      <c r="O40" s="430">
        <f t="shared" si="3"/>
        <v>0</v>
      </c>
    </row>
    <row r="41" spans="1:15" ht="15.6" customHeight="1" x14ac:dyDescent="0.2">
      <c r="A41" s="434">
        <v>35</v>
      </c>
      <c r="B41" s="435" t="s">
        <v>165</v>
      </c>
      <c r="C41" s="485">
        <f>'8_2.1.21 SIS'!BG41</f>
        <v>0</v>
      </c>
      <c r="D41" s="437">
        <f>'9_Per Pupil Summary'!S40</f>
        <v>9499.745693160814</v>
      </c>
      <c r="E41" s="437">
        <f t="shared" si="4"/>
        <v>0</v>
      </c>
      <c r="F41" s="437"/>
      <c r="G41" s="437"/>
      <c r="H41" s="441">
        <f t="shared" si="1"/>
        <v>0</v>
      </c>
      <c r="I41" s="440">
        <f t="shared" si="5"/>
        <v>0</v>
      </c>
      <c r="J41" s="437">
        <f>'[1]5A4_NOCCA'!$H41</f>
        <v>0</v>
      </c>
      <c r="K41" s="440">
        <f t="shared" si="6"/>
        <v>0</v>
      </c>
      <c r="L41" s="443"/>
      <c r="M41" s="437">
        <f t="shared" si="7"/>
        <v>0</v>
      </c>
      <c r="N41" s="444">
        <f t="shared" si="2"/>
        <v>0</v>
      </c>
      <c r="O41" s="444">
        <f t="shared" si="3"/>
        <v>0</v>
      </c>
    </row>
    <row r="42" spans="1:15" ht="15.6" customHeight="1" x14ac:dyDescent="0.2">
      <c r="A42" s="547">
        <v>36</v>
      </c>
      <c r="B42" s="548" t="s">
        <v>166</v>
      </c>
      <c r="C42" s="549">
        <f>'8_2.1.21 SIS'!BG42</f>
        <v>133</v>
      </c>
      <c r="D42" s="550">
        <f>'9_Per Pupil Summary'!S41</f>
        <v>9206.5862800875275</v>
      </c>
      <c r="E42" s="550">
        <f t="shared" si="4"/>
        <v>1224476</v>
      </c>
      <c r="F42" s="550"/>
      <c r="G42" s="550"/>
      <c r="H42" s="551">
        <f t="shared" si="1"/>
        <v>0</v>
      </c>
      <c r="I42" s="552">
        <f t="shared" si="5"/>
        <v>1224476</v>
      </c>
      <c r="J42" s="550">
        <f>'[1]5A4_NOCCA'!$H42</f>
        <v>0</v>
      </c>
      <c r="K42" s="552">
        <f t="shared" si="6"/>
        <v>1224476</v>
      </c>
      <c r="L42" s="550"/>
      <c r="M42" s="550">
        <f t="shared" si="7"/>
        <v>1224476</v>
      </c>
      <c r="N42" s="552">
        <f t="shared" si="2"/>
        <v>102040</v>
      </c>
      <c r="O42" s="553">
        <f t="shared" si="3"/>
        <v>1224476</v>
      </c>
    </row>
    <row r="43" spans="1:15" ht="15.6" customHeight="1" x14ac:dyDescent="0.2">
      <c r="A43" s="424">
        <v>37</v>
      </c>
      <c r="B43" s="425" t="s">
        <v>167</v>
      </c>
      <c r="C43" s="554">
        <f>'8_2.1.21 SIS'!BG43</f>
        <v>0</v>
      </c>
      <c r="D43" s="427">
        <f>'9_Per Pupil Summary'!S42</f>
        <v>9612.3900772200759</v>
      </c>
      <c r="E43" s="427">
        <f t="shared" si="4"/>
        <v>0</v>
      </c>
      <c r="F43" s="427"/>
      <c r="G43" s="427"/>
      <c r="H43" s="431">
        <f t="shared" si="1"/>
        <v>0</v>
      </c>
      <c r="I43" s="430">
        <f t="shared" si="5"/>
        <v>0</v>
      </c>
      <c r="J43" s="427">
        <f>'[1]5A4_NOCCA'!$H43</f>
        <v>0</v>
      </c>
      <c r="K43" s="430">
        <f t="shared" si="6"/>
        <v>0</v>
      </c>
      <c r="L43" s="427"/>
      <c r="M43" s="427">
        <f t="shared" si="7"/>
        <v>0</v>
      </c>
      <c r="N43" s="430">
        <f t="shared" si="2"/>
        <v>0</v>
      </c>
      <c r="O43" s="430">
        <f t="shared" si="3"/>
        <v>0</v>
      </c>
    </row>
    <row r="44" spans="1:15" ht="15.6" customHeight="1" x14ac:dyDescent="0.2">
      <c r="A44" s="424">
        <v>38</v>
      </c>
      <c r="B44" s="425" t="s">
        <v>168</v>
      </c>
      <c r="C44" s="554">
        <f>'8_2.1.21 SIS'!BG44</f>
        <v>3</v>
      </c>
      <c r="D44" s="427">
        <f>'9_Per Pupil Summary'!S43</f>
        <v>9603.6661481870724</v>
      </c>
      <c r="E44" s="427">
        <f t="shared" si="4"/>
        <v>28811</v>
      </c>
      <c r="F44" s="427"/>
      <c r="G44" s="427"/>
      <c r="H44" s="431">
        <f t="shared" si="1"/>
        <v>0</v>
      </c>
      <c r="I44" s="430">
        <f t="shared" si="5"/>
        <v>28811</v>
      </c>
      <c r="J44" s="427">
        <f>'[1]5A4_NOCCA'!$H44</f>
        <v>0</v>
      </c>
      <c r="K44" s="430">
        <f t="shared" si="6"/>
        <v>28811</v>
      </c>
      <c r="L44" s="427"/>
      <c r="M44" s="427">
        <f t="shared" si="7"/>
        <v>28811</v>
      </c>
      <c r="N44" s="430">
        <f t="shared" si="2"/>
        <v>2401</v>
      </c>
      <c r="O44" s="430">
        <f t="shared" si="3"/>
        <v>28811</v>
      </c>
    </row>
    <row r="45" spans="1:15" ht="15.6" customHeight="1" x14ac:dyDescent="0.2">
      <c r="A45" s="424">
        <v>39</v>
      </c>
      <c r="B45" s="425" t="s">
        <v>169</v>
      </c>
      <c r="C45" s="554">
        <f>'8_2.1.21 SIS'!BG45</f>
        <v>0</v>
      </c>
      <c r="D45" s="427">
        <f>'9_Per Pupil Summary'!S44</f>
        <v>9816.4488455538212</v>
      </c>
      <c r="E45" s="427">
        <f t="shared" si="4"/>
        <v>0</v>
      </c>
      <c r="F45" s="427"/>
      <c r="G45" s="427"/>
      <c r="H45" s="431">
        <f t="shared" si="1"/>
        <v>0</v>
      </c>
      <c r="I45" s="430">
        <f t="shared" si="5"/>
        <v>0</v>
      </c>
      <c r="J45" s="427">
        <f>'[1]5A4_NOCCA'!$H45</f>
        <v>0</v>
      </c>
      <c r="K45" s="430">
        <f t="shared" si="6"/>
        <v>0</v>
      </c>
      <c r="L45" s="427"/>
      <c r="M45" s="427">
        <f t="shared" si="7"/>
        <v>0</v>
      </c>
      <c r="N45" s="430">
        <f t="shared" si="2"/>
        <v>0</v>
      </c>
      <c r="O45" s="430">
        <f t="shared" si="3"/>
        <v>0</v>
      </c>
    </row>
    <row r="46" spans="1:15" ht="15.6" customHeight="1" x14ac:dyDescent="0.2">
      <c r="A46" s="434">
        <v>40</v>
      </c>
      <c r="B46" s="435" t="s">
        <v>170</v>
      </c>
      <c r="C46" s="485">
        <f>'8_2.1.21 SIS'!BG46</f>
        <v>0</v>
      </c>
      <c r="D46" s="437">
        <f>'9_Per Pupil Summary'!S45</f>
        <v>9567.9124528125139</v>
      </c>
      <c r="E46" s="437">
        <f t="shared" si="4"/>
        <v>0</v>
      </c>
      <c r="F46" s="437"/>
      <c r="G46" s="437"/>
      <c r="H46" s="441">
        <f t="shared" si="1"/>
        <v>0</v>
      </c>
      <c r="I46" s="440">
        <f t="shared" si="5"/>
        <v>0</v>
      </c>
      <c r="J46" s="437">
        <f>'[1]5A4_NOCCA'!$H46</f>
        <v>0</v>
      </c>
      <c r="K46" s="440">
        <f t="shared" si="6"/>
        <v>0</v>
      </c>
      <c r="L46" s="443"/>
      <c r="M46" s="437">
        <f t="shared" si="7"/>
        <v>0</v>
      </c>
      <c r="N46" s="444">
        <f t="shared" si="2"/>
        <v>0</v>
      </c>
      <c r="O46" s="444">
        <f t="shared" si="3"/>
        <v>0</v>
      </c>
    </row>
    <row r="47" spans="1:15" ht="15.6" customHeight="1" x14ac:dyDescent="0.2">
      <c r="A47" s="547">
        <v>41</v>
      </c>
      <c r="B47" s="548" t="s">
        <v>171</v>
      </c>
      <c r="C47" s="549">
        <f>'8_2.1.21 SIS'!BG47</f>
        <v>0</v>
      </c>
      <c r="D47" s="550">
        <f>'9_Per Pupil Summary'!S46</f>
        <v>9636.8193825180424</v>
      </c>
      <c r="E47" s="550">
        <f t="shared" si="4"/>
        <v>0</v>
      </c>
      <c r="F47" s="550"/>
      <c r="G47" s="550"/>
      <c r="H47" s="551">
        <f t="shared" si="1"/>
        <v>0</v>
      </c>
      <c r="I47" s="552">
        <f t="shared" si="5"/>
        <v>0</v>
      </c>
      <c r="J47" s="550">
        <f>'[1]5A4_NOCCA'!$H47</f>
        <v>0</v>
      </c>
      <c r="K47" s="552">
        <f t="shared" si="6"/>
        <v>0</v>
      </c>
      <c r="L47" s="550"/>
      <c r="M47" s="550">
        <f t="shared" si="7"/>
        <v>0</v>
      </c>
      <c r="N47" s="552">
        <f t="shared" si="2"/>
        <v>0</v>
      </c>
      <c r="O47" s="553">
        <f t="shared" si="3"/>
        <v>0</v>
      </c>
    </row>
    <row r="48" spans="1:15" ht="15.6" customHeight="1" x14ac:dyDescent="0.2">
      <c r="A48" s="424">
        <v>42</v>
      </c>
      <c r="B48" s="425" t="s">
        <v>172</v>
      </c>
      <c r="C48" s="554">
        <f>'8_2.1.21 SIS'!BG48</f>
        <v>0</v>
      </c>
      <c r="D48" s="427">
        <f>'9_Per Pupil Summary'!S47</f>
        <v>10077.097050092765</v>
      </c>
      <c r="E48" s="427">
        <f t="shared" si="4"/>
        <v>0</v>
      </c>
      <c r="F48" s="427"/>
      <c r="G48" s="427"/>
      <c r="H48" s="431">
        <f t="shared" si="1"/>
        <v>0</v>
      </c>
      <c r="I48" s="430">
        <f t="shared" si="5"/>
        <v>0</v>
      </c>
      <c r="J48" s="427">
        <f>'[1]5A4_NOCCA'!$H48</f>
        <v>0</v>
      </c>
      <c r="K48" s="430">
        <f t="shared" si="6"/>
        <v>0</v>
      </c>
      <c r="L48" s="427"/>
      <c r="M48" s="427">
        <f t="shared" si="7"/>
        <v>0</v>
      </c>
      <c r="N48" s="430">
        <f t="shared" si="2"/>
        <v>0</v>
      </c>
      <c r="O48" s="430">
        <f t="shared" si="3"/>
        <v>0</v>
      </c>
    </row>
    <row r="49" spans="1:15" ht="15.6" customHeight="1" x14ac:dyDescent="0.2">
      <c r="A49" s="424">
        <v>43</v>
      </c>
      <c r="B49" s="425" t="s">
        <v>173</v>
      </c>
      <c r="C49" s="554">
        <f>'8_2.1.21 SIS'!BG49</f>
        <v>0</v>
      </c>
      <c r="D49" s="427">
        <f>'9_Per Pupil Summary'!S48</f>
        <v>9982.799959370237</v>
      </c>
      <c r="E49" s="427">
        <f t="shared" si="4"/>
        <v>0</v>
      </c>
      <c r="F49" s="427"/>
      <c r="G49" s="427"/>
      <c r="H49" s="431">
        <f t="shared" si="1"/>
        <v>0</v>
      </c>
      <c r="I49" s="430">
        <f t="shared" si="5"/>
        <v>0</v>
      </c>
      <c r="J49" s="427">
        <f>'[1]5A4_NOCCA'!$H49</f>
        <v>0</v>
      </c>
      <c r="K49" s="430">
        <f t="shared" si="6"/>
        <v>0</v>
      </c>
      <c r="L49" s="427"/>
      <c r="M49" s="427">
        <f t="shared" si="7"/>
        <v>0</v>
      </c>
      <c r="N49" s="430">
        <f t="shared" si="2"/>
        <v>0</v>
      </c>
      <c r="O49" s="430">
        <f t="shared" si="3"/>
        <v>0</v>
      </c>
    </row>
    <row r="50" spans="1:15" ht="15.6" customHeight="1" x14ac:dyDescent="0.2">
      <c r="A50" s="424">
        <v>44</v>
      </c>
      <c r="B50" s="425" t="s">
        <v>174</v>
      </c>
      <c r="C50" s="554">
        <f>'8_2.1.21 SIS'!BG50</f>
        <v>11</v>
      </c>
      <c r="D50" s="427">
        <f>'9_Per Pupil Summary'!S49</f>
        <v>9382.1066126695641</v>
      </c>
      <c r="E50" s="427">
        <f t="shared" si="4"/>
        <v>103203</v>
      </c>
      <c r="F50" s="427"/>
      <c r="G50" s="427"/>
      <c r="H50" s="431">
        <f t="shared" si="1"/>
        <v>0</v>
      </c>
      <c r="I50" s="430">
        <f t="shared" si="5"/>
        <v>103203</v>
      </c>
      <c r="J50" s="427">
        <f>'[1]5A4_NOCCA'!$H50</f>
        <v>0</v>
      </c>
      <c r="K50" s="430">
        <f t="shared" si="6"/>
        <v>103203</v>
      </c>
      <c r="L50" s="427"/>
      <c r="M50" s="427">
        <f t="shared" si="7"/>
        <v>103203</v>
      </c>
      <c r="N50" s="430">
        <f t="shared" si="2"/>
        <v>8600</v>
      </c>
      <c r="O50" s="430">
        <f t="shared" si="3"/>
        <v>103203</v>
      </c>
    </row>
    <row r="51" spans="1:15" ht="15.6" customHeight="1" x14ac:dyDescent="0.2">
      <c r="A51" s="434">
        <v>45</v>
      </c>
      <c r="B51" s="435" t="s">
        <v>175</v>
      </c>
      <c r="C51" s="485">
        <f>'8_2.1.21 SIS'!BG51</f>
        <v>5</v>
      </c>
      <c r="D51" s="437">
        <f>'9_Per Pupil Summary'!S50</f>
        <v>8593.4930751952088</v>
      </c>
      <c r="E51" s="437">
        <f t="shared" si="4"/>
        <v>42967</v>
      </c>
      <c r="F51" s="437"/>
      <c r="G51" s="437"/>
      <c r="H51" s="441">
        <f t="shared" si="1"/>
        <v>0</v>
      </c>
      <c r="I51" s="440">
        <f t="shared" si="5"/>
        <v>42967</v>
      </c>
      <c r="J51" s="437">
        <f>'[1]5A4_NOCCA'!$H51</f>
        <v>0</v>
      </c>
      <c r="K51" s="440">
        <f t="shared" si="6"/>
        <v>42967</v>
      </c>
      <c r="L51" s="443"/>
      <c r="M51" s="437">
        <f t="shared" si="7"/>
        <v>42967</v>
      </c>
      <c r="N51" s="444">
        <f t="shared" si="2"/>
        <v>3581</v>
      </c>
      <c r="O51" s="444">
        <f t="shared" si="3"/>
        <v>42967</v>
      </c>
    </row>
    <row r="52" spans="1:15" ht="15.6" customHeight="1" x14ac:dyDescent="0.2">
      <c r="A52" s="547">
        <v>46</v>
      </c>
      <c r="B52" s="548" t="s">
        <v>176</v>
      </c>
      <c r="C52" s="549">
        <f>'8_2.1.21 SIS'!BG52</f>
        <v>0</v>
      </c>
      <c r="D52" s="550">
        <f>'9_Per Pupil Summary'!S51</f>
        <v>11510.272294520548</v>
      </c>
      <c r="E52" s="550">
        <f t="shared" si="4"/>
        <v>0</v>
      </c>
      <c r="F52" s="550"/>
      <c r="G52" s="550"/>
      <c r="H52" s="551">
        <f t="shared" si="1"/>
        <v>0</v>
      </c>
      <c r="I52" s="552">
        <f t="shared" si="5"/>
        <v>0</v>
      </c>
      <c r="J52" s="550">
        <f>'[1]5A4_NOCCA'!$H52</f>
        <v>0</v>
      </c>
      <c r="K52" s="552">
        <f t="shared" si="6"/>
        <v>0</v>
      </c>
      <c r="L52" s="550"/>
      <c r="M52" s="550">
        <f t="shared" si="7"/>
        <v>0</v>
      </c>
      <c r="N52" s="552">
        <f t="shared" si="2"/>
        <v>0</v>
      </c>
      <c r="O52" s="553">
        <f t="shared" si="3"/>
        <v>0</v>
      </c>
    </row>
    <row r="53" spans="1:15" ht="15.6" customHeight="1" x14ac:dyDescent="0.2">
      <c r="A53" s="424">
        <v>47</v>
      </c>
      <c r="B53" s="425" t="s">
        <v>177</v>
      </c>
      <c r="C53" s="554">
        <f>'8_2.1.21 SIS'!BG53</f>
        <v>2</v>
      </c>
      <c r="D53" s="427">
        <f>'9_Per Pupil Summary'!S52</f>
        <v>9604.7579024099978</v>
      </c>
      <c r="E53" s="427">
        <f t="shared" si="4"/>
        <v>19210</v>
      </c>
      <c r="F53" s="427"/>
      <c r="G53" s="427"/>
      <c r="H53" s="431">
        <f t="shared" si="1"/>
        <v>0</v>
      </c>
      <c r="I53" s="430">
        <f t="shared" si="5"/>
        <v>19210</v>
      </c>
      <c r="J53" s="427">
        <f>'[1]5A4_NOCCA'!$H53</f>
        <v>0</v>
      </c>
      <c r="K53" s="430">
        <f t="shared" si="6"/>
        <v>19210</v>
      </c>
      <c r="L53" s="427"/>
      <c r="M53" s="427">
        <f t="shared" si="7"/>
        <v>19210</v>
      </c>
      <c r="N53" s="430">
        <f t="shared" si="2"/>
        <v>1601</v>
      </c>
      <c r="O53" s="430">
        <f t="shared" si="3"/>
        <v>19210</v>
      </c>
    </row>
    <row r="54" spans="1:15" ht="15.6" customHeight="1" x14ac:dyDescent="0.2">
      <c r="A54" s="424">
        <v>48</v>
      </c>
      <c r="B54" s="425" t="s">
        <v>178</v>
      </c>
      <c r="C54" s="554">
        <f>'8_2.1.21 SIS'!BG54</f>
        <v>2</v>
      </c>
      <c r="D54" s="427">
        <f>'9_Per Pupil Summary'!S53</f>
        <v>9603.1613821138199</v>
      </c>
      <c r="E54" s="427">
        <f t="shared" si="4"/>
        <v>19206</v>
      </c>
      <c r="F54" s="427"/>
      <c r="G54" s="427"/>
      <c r="H54" s="431">
        <f t="shared" si="1"/>
        <v>0</v>
      </c>
      <c r="I54" s="430">
        <f t="shared" si="5"/>
        <v>19206</v>
      </c>
      <c r="J54" s="427">
        <f>'[1]5A4_NOCCA'!$H54</f>
        <v>0</v>
      </c>
      <c r="K54" s="430">
        <f t="shared" si="6"/>
        <v>19206</v>
      </c>
      <c r="L54" s="427"/>
      <c r="M54" s="427">
        <f t="shared" si="7"/>
        <v>19206</v>
      </c>
      <c r="N54" s="430">
        <f t="shared" si="2"/>
        <v>1601</v>
      </c>
      <c r="O54" s="430">
        <f t="shared" si="3"/>
        <v>19206</v>
      </c>
    </row>
    <row r="55" spans="1:15" ht="15.6" customHeight="1" x14ac:dyDescent="0.2">
      <c r="A55" s="424">
        <v>49</v>
      </c>
      <c r="B55" s="425" t="s">
        <v>179</v>
      </c>
      <c r="C55" s="554">
        <f>'8_2.1.21 SIS'!BG55</f>
        <v>0</v>
      </c>
      <c r="D55" s="427">
        <f>'9_Per Pupil Summary'!S54</f>
        <v>9046.1366287730307</v>
      </c>
      <c r="E55" s="427">
        <f t="shared" si="4"/>
        <v>0</v>
      </c>
      <c r="F55" s="427"/>
      <c r="G55" s="427"/>
      <c r="H55" s="431">
        <f t="shared" si="1"/>
        <v>0</v>
      </c>
      <c r="I55" s="430">
        <f t="shared" si="5"/>
        <v>0</v>
      </c>
      <c r="J55" s="427">
        <f>'[1]5A4_NOCCA'!$H55</f>
        <v>0</v>
      </c>
      <c r="K55" s="430">
        <f t="shared" si="6"/>
        <v>0</v>
      </c>
      <c r="L55" s="427"/>
      <c r="M55" s="427">
        <f t="shared" si="7"/>
        <v>0</v>
      </c>
      <c r="N55" s="430">
        <f t="shared" si="2"/>
        <v>0</v>
      </c>
      <c r="O55" s="430">
        <f t="shared" si="3"/>
        <v>0</v>
      </c>
    </row>
    <row r="56" spans="1:15" ht="15.6" customHeight="1" x14ac:dyDescent="0.2">
      <c r="A56" s="434">
        <v>50</v>
      </c>
      <c r="B56" s="435" t="s">
        <v>180</v>
      </c>
      <c r="C56" s="485">
        <f>'8_2.1.21 SIS'!BG56</f>
        <v>0</v>
      </c>
      <c r="D56" s="437">
        <f>'9_Per Pupil Summary'!S55</f>
        <v>9332.1664789502465</v>
      </c>
      <c r="E56" s="437">
        <f t="shared" si="4"/>
        <v>0</v>
      </c>
      <c r="F56" s="437"/>
      <c r="G56" s="437"/>
      <c r="H56" s="441">
        <f t="shared" si="1"/>
        <v>0</v>
      </c>
      <c r="I56" s="440">
        <f t="shared" si="5"/>
        <v>0</v>
      </c>
      <c r="J56" s="437">
        <f>'[1]5A4_NOCCA'!$H56</f>
        <v>0</v>
      </c>
      <c r="K56" s="440">
        <f t="shared" si="6"/>
        <v>0</v>
      </c>
      <c r="L56" s="443"/>
      <c r="M56" s="437">
        <f t="shared" si="7"/>
        <v>0</v>
      </c>
      <c r="N56" s="444">
        <f t="shared" si="2"/>
        <v>0</v>
      </c>
      <c r="O56" s="444">
        <f t="shared" si="3"/>
        <v>0</v>
      </c>
    </row>
    <row r="57" spans="1:15" ht="15.6" customHeight="1" x14ac:dyDescent="0.2">
      <c r="A57" s="547">
        <v>51</v>
      </c>
      <c r="B57" s="548" t="s">
        <v>181</v>
      </c>
      <c r="C57" s="549">
        <f>'8_2.1.21 SIS'!BG57</f>
        <v>0</v>
      </c>
      <c r="D57" s="550">
        <f>'9_Per Pupil Summary'!S56</f>
        <v>9918.815681054537</v>
      </c>
      <c r="E57" s="550">
        <f t="shared" si="4"/>
        <v>0</v>
      </c>
      <c r="F57" s="550"/>
      <c r="G57" s="550"/>
      <c r="H57" s="551">
        <f t="shared" si="1"/>
        <v>0</v>
      </c>
      <c r="I57" s="552">
        <f t="shared" si="5"/>
        <v>0</v>
      </c>
      <c r="J57" s="550">
        <f>'[1]5A4_NOCCA'!$H57</f>
        <v>0</v>
      </c>
      <c r="K57" s="552">
        <f t="shared" si="6"/>
        <v>0</v>
      </c>
      <c r="L57" s="550"/>
      <c r="M57" s="550">
        <f t="shared" si="7"/>
        <v>0</v>
      </c>
      <c r="N57" s="552">
        <f t="shared" si="2"/>
        <v>0</v>
      </c>
      <c r="O57" s="553">
        <f t="shared" si="3"/>
        <v>0</v>
      </c>
    </row>
    <row r="58" spans="1:15" ht="15.6" customHeight="1" x14ac:dyDescent="0.2">
      <c r="A58" s="424">
        <v>52</v>
      </c>
      <c r="B58" s="425" t="s">
        <v>182</v>
      </c>
      <c r="C58" s="554">
        <f>'8_2.1.21 SIS'!BG58</f>
        <v>38</v>
      </c>
      <c r="D58" s="427">
        <f>'9_Per Pupil Summary'!S57</f>
        <v>9625.3325549413494</v>
      </c>
      <c r="E58" s="427">
        <f t="shared" si="4"/>
        <v>365763</v>
      </c>
      <c r="F58" s="427"/>
      <c r="G58" s="427"/>
      <c r="H58" s="431">
        <f t="shared" si="1"/>
        <v>0</v>
      </c>
      <c r="I58" s="430">
        <f t="shared" si="5"/>
        <v>365763</v>
      </c>
      <c r="J58" s="427">
        <f>'[1]5A4_NOCCA'!$H58</f>
        <v>0</v>
      </c>
      <c r="K58" s="430">
        <f t="shared" si="6"/>
        <v>365763</v>
      </c>
      <c r="L58" s="427"/>
      <c r="M58" s="427">
        <f t="shared" si="7"/>
        <v>365763</v>
      </c>
      <c r="N58" s="430">
        <f t="shared" si="2"/>
        <v>30480</v>
      </c>
      <c r="O58" s="430">
        <f t="shared" si="3"/>
        <v>365763</v>
      </c>
    </row>
    <row r="59" spans="1:15" ht="15.6" customHeight="1" x14ac:dyDescent="0.2">
      <c r="A59" s="424">
        <v>53</v>
      </c>
      <c r="B59" s="425" t="s">
        <v>183</v>
      </c>
      <c r="C59" s="554">
        <f>'8_2.1.21 SIS'!BG59</f>
        <v>8</v>
      </c>
      <c r="D59" s="427">
        <f>'9_Per Pupil Summary'!S58</f>
        <v>9061.4109807208715</v>
      </c>
      <c r="E59" s="427">
        <f t="shared" si="4"/>
        <v>72491</v>
      </c>
      <c r="F59" s="427"/>
      <c r="G59" s="427"/>
      <c r="H59" s="431">
        <f t="shared" si="1"/>
        <v>0</v>
      </c>
      <c r="I59" s="430">
        <f t="shared" si="5"/>
        <v>72491</v>
      </c>
      <c r="J59" s="427">
        <f>'[1]5A4_NOCCA'!$H59</f>
        <v>0</v>
      </c>
      <c r="K59" s="430">
        <f t="shared" si="6"/>
        <v>72491</v>
      </c>
      <c r="L59" s="427"/>
      <c r="M59" s="427">
        <f t="shared" si="7"/>
        <v>72491</v>
      </c>
      <c r="N59" s="430">
        <f t="shared" si="2"/>
        <v>6041</v>
      </c>
      <c r="O59" s="430">
        <f t="shared" si="3"/>
        <v>72491</v>
      </c>
    </row>
    <row r="60" spans="1:15" ht="15.6" customHeight="1" x14ac:dyDescent="0.2">
      <c r="A60" s="424">
        <v>54</v>
      </c>
      <c r="B60" s="425" t="s">
        <v>184</v>
      </c>
      <c r="C60" s="554">
        <f>'8_2.1.21 SIS'!BG60</f>
        <v>0</v>
      </c>
      <c r="D60" s="427">
        <f>'9_Per Pupil Summary'!S59</f>
        <v>11158.272928039703</v>
      </c>
      <c r="E60" s="427">
        <f t="shared" si="4"/>
        <v>0</v>
      </c>
      <c r="F60" s="427"/>
      <c r="G60" s="427"/>
      <c r="H60" s="431">
        <f t="shared" si="1"/>
        <v>0</v>
      </c>
      <c r="I60" s="430">
        <f t="shared" si="5"/>
        <v>0</v>
      </c>
      <c r="J60" s="427">
        <f>'[1]5A4_NOCCA'!$H60</f>
        <v>0</v>
      </c>
      <c r="K60" s="430">
        <f t="shared" si="6"/>
        <v>0</v>
      </c>
      <c r="L60" s="427"/>
      <c r="M60" s="427">
        <f t="shared" si="7"/>
        <v>0</v>
      </c>
      <c r="N60" s="430">
        <f t="shared" si="2"/>
        <v>0</v>
      </c>
      <c r="O60" s="430">
        <f t="shared" si="3"/>
        <v>0</v>
      </c>
    </row>
    <row r="61" spans="1:15" ht="15.6" customHeight="1" x14ac:dyDescent="0.2">
      <c r="A61" s="434">
        <v>55</v>
      </c>
      <c r="B61" s="435" t="s">
        <v>185</v>
      </c>
      <c r="C61" s="485">
        <f>'8_2.1.21 SIS'!BG61</f>
        <v>0</v>
      </c>
      <c r="D61" s="437">
        <f>'9_Per Pupil Summary'!S60</f>
        <v>9299.6940490572961</v>
      </c>
      <c r="E61" s="437">
        <f t="shared" si="4"/>
        <v>0</v>
      </c>
      <c r="F61" s="437"/>
      <c r="G61" s="437"/>
      <c r="H61" s="441">
        <f t="shared" si="1"/>
        <v>0</v>
      </c>
      <c r="I61" s="440">
        <f t="shared" si="5"/>
        <v>0</v>
      </c>
      <c r="J61" s="437">
        <f>'[1]5A4_NOCCA'!$H61</f>
        <v>0</v>
      </c>
      <c r="K61" s="440">
        <f t="shared" si="6"/>
        <v>0</v>
      </c>
      <c r="L61" s="443"/>
      <c r="M61" s="437">
        <f t="shared" si="7"/>
        <v>0</v>
      </c>
      <c r="N61" s="444">
        <f t="shared" si="2"/>
        <v>0</v>
      </c>
      <c r="O61" s="444">
        <f t="shared" si="3"/>
        <v>0</v>
      </c>
    </row>
    <row r="62" spans="1:15" ht="15.6" customHeight="1" x14ac:dyDescent="0.2">
      <c r="A62" s="547">
        <v>56</v>
      </c>
      <c r="B62" s="548" t="s">
        <v>186</v>
      </c>
      <c r="C62" s="549">
        <f>'8_2.1.21 SIS'!BG62</f>
        <v>0</v>
      </c>
      <c r="D62" s="550">
        <f>'9_Per Pupil Summary'!S61</f>
        <v>10237.73950786056</v>
      </c>
      <c r="E62" s="550">
        <f t="shared" si="4"/>
        <v>0</v>
      </c>
      <c r="F62" s="550"/>
      <c r="G62" s="550"/>
      <c r="H62" s="551">
        <f t="shared" si="1"/>
        <v>0</v>
      </c>
      <c r="I62" s="552">
        <f t="shared" si="5"/>
        <v>0</v>
      </c>
      <c r="J62" s="550">
        <f>'[1]5A4_NOCCA'!$H62</f>
        <v>0</v>
      </c>
      <c r="K62" s="552">
        <f t="shared" si="6"/>
        <v>0</v>
      </c>
      <c r="L62" s="550"/>
      <c r="M62" s="550">
        <f t="shared" si="7"/>
        <v>0</v>
      </c>
      <c r="N62" s="552">
        <f t="shared" si="2"/>
        <v>0</v>
      </c>
      <c r="O62" s="553">
        <f t="shared" si="3"/>
        <v>0</v>
      </c>
    </row>
    <row r="63" spans="1:15" ht="15.6" customHeight="1" x14ac:dyDescent="0.2">
      <c r="A63" s="424">
        <v>57</v>
      </c>
      <c r="B63" s="425" t="s">
        <v>187</v>
      </c>
      <c r="C63" s="554">
        <f>'8_2.1.21 SIS'!BG63</f>
        <v>0</v>
      </c>
      <c r="D63" s="427">
        <f>'9_Per Pupil Summary'!S62</f>
        <v>8864.8970059235326</v>
      </c>
      <c r="E63" s="427">
        <f t="shared" si="4"/>
        <v>0</v>
      </c>
      <c r="F63" s="427"/>
      <c r="G63" s="427"/>
      <c r="H63" s="431">
        <f t="shared" si="1"/>
        <v>0</v>
      </c>
      <c r="I63" s="430">
        <f t="shared" si="5"/>
        <v>0</v>
      </c>
      <c r="J63" s="427">
        <f>'[1]5A4_NOCCA'!$H63</f>
        <v>0</v>
      </c>
      <c r="K63" s="430">
        <f t="shared" si="6"/>
        <v>0</v>
      </c>
      <c r="L63" s="427"/>
      <c r="M63" s="427">
        <f t="shared" si="7"/>
        <v>0</v>
      </c>
      <c r="N63" s="430">
        <f t="shared" si="2"/>
        <v>0</v>
      </c>
      <c r="O63" s="430">
        <f t="shared" si="3"/>
        <v>0</v>
      </c>
    </row>
    <row r="64" spans="1:15" ht="15.6" customHeight="1" x14ac:dyDescent="0.2">
      <c r="A64" s="424">
        <v>58</v>
      </c>
      <c r="B64" s="425" t="s">
        <v>188</v>
      </c>
      <c r="C64" s="554">
        <f>'8_2.1.21 SIS'!BG64</f>
        <v>0</v>
      </c>
      <c r="D64" s="427">
        <f>'9_Per Pupil Summary'!S63</f>
        <v>9714.6091062394607</v>
      </c>
      <c r="E64" s="427">
        <f t="shared" si="4"/>
        <v>0</v>
      </c>
      <c r="F64" s="427"/>
      <c r="G64" s="427"/>
      <c r="H64" s="431">
        <f t="shared" si="1"/>
        <v>0</v>
      </c>
      <c r="I64" s="430">
        <f t="shared" si="5"/>
        <v>0</v>
      </c>
      <c r="J64" s="427">
        <f>'[1]5A4_NOCCA'!$H64</f>
        <v>0</v>
      </c>
      <c r="K64" s="430">
        <f t="shared" si="6"/>
        <v>0</v>
      </c>
      <c r="L64" s="427"/>
      <c r="M64" s="427">
        <f t="shared" si="7"/>
        <v>0</v>
      </c>
      <c r="N64" s="430">
        <f t="shared" si="2"/>
        <v>0</v>
      </c>
      <c r="O64" s="430">
        <f t="shared" si="3"/>
        <v>0</v>
      </c>
    </row>
    <row r="65" spans="1:15" ht="15.6" customHeight="1" x14ac:dyDescent="0.2">
      <c r="A65" s="424">
        <v>59</v>
      </c>
      <c r="B65" s="425" t="s">
        <v>189</v>
      </c>
      <c r="C65" s="554">
        <f>'8_2.1.21 SIS'!BG65</f>
        <v>0</v>
      </c>
      <c r="D65" s="427">
        <f>'9_Per Pupil Summary'!S64</f>
        <v>9213.5109958506218</v>
      </c>
      <c r="E65" s="427">
        <f t="shared" si="4"/>
        <v>0</v>
      </c>
      <c r="F65" s="427"/>
      <c r="G65" s="427"/>
      <c r="H65" s="431">
        <f t="shared" si="1"/>
        <v>0</v>
      </c>
      <c r="I65" s="430">
        <f t="shared" si="5"/>
        <v>0</v>
      </c>
      <c r="J65" s="427">
        <f>'[1]5A4_NOCCA'!$H65</f>
        <v>0</v>
      </c>
      <c r="K65" s="430">
        <f t="shared" si="6"/>
        <v>0</v>
      </c>
      <c r="L65" s="427"/>
      <c r="M65" s="427">
        <f t="shared" si="7"/>
        <v>0</v>
      </c>
      <c r="N65" s="430">
        <f t="shared" si="2"/>
        <v>0</v>
      </c>
      <c r="O65" s="430">
        <f t="shared" si="3"/>
        <v>0</v>
      </c>
    </row>
    <row r="66" spans="1:15" ht="15.6" customHeight="1" x14ac:dyDescent="0.2">
      <c r="A66" s="434">
        <v>60</v>
      </c>
      <c r="B66" s="435" t="s">
        <v>190</v>
      </c>
      <c r="C66" s="485">
        <f>'8_2.1.21 SIS'!BG66</f>
        <v>0</v>
      </c>
      <c r="D66" s="437">
        <f>'9_Per Pupil Summary'!S65</f>
        <v>10013.000138563973</v>
      </c>
      <c r="E66" s="437">
        <f t="shared" si="4"/>
        <v>0</v>
      </c>
      <c r="F66" s="437"/>
      <c r="G66" s="437"/>
      <c r="H66" s="441">
        <f t="shared" si="1"/>
        <v>0</v>
      </c>
      <c r="I66" s="440">
        <f t="shared" si="5"/>
        <v>0</v>
      </c>
      <c r="J66" s="437">
        <f>'[1]5A4_NOCCA'!$H66</f>
        <v>0</v>
      </c>
      <c r="K66" s="440">
        <f t="shared" si="6"/>
        <v>0</v>
      </c>
      <c r="L66" s="443"/>
      <c r="M66" s="437">
        <f t="shared" si="7"/>
        <v>0</v>
      </c>
      <c r="N66" s="444">
        <f t="shared" si="2"/>
        <v>0</v>
      </c>
      <c r="O66" s="444">
        <f t="shared" si="3"/>
        <v>0</v>
      </c>
    </row>
    <row r="67" spans="1:15" ht="15.6" customHeight="1" x14ac:dyDescent="0.2">
      <c r="A67" s="547">
        <v>61</v>
      </c>
      <c r="B67" s="548" t="s">
        <v>191</v>
      </c>
      <c r="C67" s="549">
        <f>'8_2.1.21 SIS'!BG67</f>
        <v>0</v>
      </c>
      <c r="D67" s="550">
        <f>'9_Per Pupil Summary'!S66</f>
        <v>9239.1309051169974</v>
      </c>
      <c r="E67" s="550">
        <f t="shared" si="4"/>
        <v>0</v>
      </c>
      <c r="F67" s="550"/>
      <c r="G67" s="550"/>
      <c r="H67" s="551">
        <f t="shared" si="1"/>
        <v>0</v>
      </c>
      <c r="I67" s="552">
        <f t="shared" si="5"/>
        <v>0</v>
      </c>
      <c r="J67" s="550">
        <f>'[1]5A4_NOCCA'!$H67</f>
        <v>0</v>
      </c>
      <c r="K67" s="552">
        <f t="shared" si="6"/>
        <v>0</v>
      </c>
      <c r="L67" s="550"/>
      <c r="M67" s="550">
        <f t="shared" si="7"/>
        <v>0</v>
      </c>
      <c r="N67" s="552">
        <f t="shared" si="2"/>
        <v>0</v>
      </c>
      <c r="O67" s="553">
        <f t="shared" si="3"/>
        <v>0</v>
      </c>
    </row>
    <row r="68" spans="1:15" ht="15.6" customHeight="1" x14ac:dyDescent="0.2">
      <c r="A68" s="424">
        <v>62</v>
      </c>
      <c r="B68" s="425" t="s">
        <v>192</v>
      </c>
      <c r="C68" s="554">
        <f>'8_2.1.21 SIS'!BG68</f>
        <v>0</v>
      </c>
      <c r="D68" s="427">
        <f>'9_Per Pupil Summary'!S67</f>
        <v>9522.1415732172027</v>
      </c>
      <c r="E68" s="427">
        <f t="shared" si="4"/>
        <v>0</v>
      </c>
      <c r="F68" s="427"/>
      <c r="G68" s="427"/>
      <c r="H68" s="431">
        <f t="shared" si="1"/>
        <v>0</v>
      </c>
      <c r="I68" s="430">
        <f t="shared" si="5"/>
        <v>0</v>
      </c>
      <c r="J68" s="427">
        <f>'[1]5A4_NOCCA'!$H68</f>
        <v>0</v>
      </c>
      <c r="K68" s="430">
        <f t="shared" si="6"/>
        <v>0</v>
      </c>
      <c r="L68" s="427"/>
      <c r="M68" s="427">
        <f t="shared" si="7"/>
        <v>0</v>
      </c>
      <c r="N68" s="430">
        <f t="shared" si="2"/>
        <v>0</v>
      </c>
      <c r="O68" s="430">
        <f t="shared" si="3"/>
        <v>0</v>
      </c>
    </row>
    <row r="69" spans="1:15" ht="15.6" customHeight="1" x14ac:dyDescent="0.2">
      <c r="A69" s="424">
        <v>63</v>
      </c>
      <c r="B69" s="425" t="s">
        <v>193</v>
      </c>
      <c r="C69" s="554">
        <f>'8_2.1.21 SIS'!BG69</f>
        <v>0</v>
      </c>
      <c r="D69" s="427">
        <f>'9_Per Pupil Summary'!S68</f>
        <v>9611.0750942484283</v>
      </c>
      <c r="E69" s="427">
        <f t="shared" si="4"/>
        <v>0</v>
      </c>
      <c r="F69" s="427"/>
      <c r="G69" s="427"/>
      <c r="H69" s="431">
        <f t="shared" si="1"/>
        <v>0</v>
      </c>
      <c r="I69" s="430">
        <f t="shared" si="5"/>
        <v>0</v>
      </c>
      <c r="J69" s="427">
        <f>'[1]5A4_NOCCA'!$H69</f>
        <v>0</v>
      </c>
      <c r="K69" s="430">
        <f t="shared" si="6"/>
        <v>0</v>
      </c>
      <c r="L69" s="427"/>
      <c r="M69" s="427">
        <f t="shared" si="7"/>
        <v>0</v>
      </c>
      <c r="N69" s="430">
        <f t="shared" si="2"/>
        <v>0</v>
      </c>
      <c r="O69" s="430">
        <f t="shared" si="3"/>
        <v>0</v>
      </c>
    </row>
    <row r="70" spans="1:15" ht="15.6" customHeight="1" x14ac:dyDescent="0.2">
      <c r="A70" s="424">
        <v>64</v>
      </c>
      <c r="B70" s="425" t="s">
        <v>194</v>
      </c>
      <c r="C70" s="554">
        <f>'8_2.1.21 SIS'!BG70</f>
        <v>0</v>
      </c>
      <c r="D70" s="427">
        <f>'9_Per Pupil Summary'!S69</f>
        <v>10656.775300950369</v>
      </c>
      <c r="E70" s="427">
        <f t="shared" si="4"/>
        <v>0</v>
      </c>
      <c r="F70" s="427"/>
      <c r="G70" s="427"/>
      <c r="H70" s="431">
        <f t="shared" si="1"/>
        <v>0</v>
      </c>
      <c r="I70" s="430">
        <f t="shared" si="5"/>
        <v>0</v>
      </c>
      <c r="J70" s="427">
        <f>'[1]5A4_NOCCA'!$H70</f>
        <v>0</v>
      </c>
      <c r="K70" s="430">
        <f t="shared" si="6"/>
        <v>0</v>
      </c>
      <c r="L70" s="427"/>
      <c r="M70" s="427">
        <f t="shared" si="7"/>
        <v>0</v>
      </c>
      <c r="N70" s="430">
        <f t="shared" si="2"/>
        <v>0</v>
      </c>
      <c r="O70" s="430">
        <f t="shared" si="3"/>
        <v>0</v>
      </c>
    </row>
    <row r="71" spans="1:15" ht="15.6" customHeight="1" x14ac:dyDescent="0.2">
      <c r="A71" s="434">
        <v>65</v>
      </c>
      <c r="B71" s="435" t="s">
        <v>195</v>
      </c>
      <c r="C71" s="485">
        <f>'8_2.1.21 SIS'!BG71</f>
        <v>0</v>
      </c>
      <c r="D71" s="437">
        <f>'9_Per Pupil Summary'!S70</f>
        <v>10032.619230474244</v>
      </c>
      <c r="E71" s="437">
        <f t="shared" si="4"/>
        <v>0</v>
      </c>
      <c r="F71" s="437"/>
      <c r="G71" s="437"/>
      <c r="H71" s="441">
        <f>F71+G71</f>
        <v>0</v>
      </c>
      <c r="I71" s="440">
        <f t="shared" si="5"/>
        <v>0</v>
      </c>
      <c r="J71" s="437">
        <f>'[1]5A4_NOCCA'!$H71</f>
        <v>0</v>
      </c>
      <c r="K71" s="440">
        <f t="shared" si="6"/>
        <v>0</v>
      </c>
      <c r="L71" s="443"/>
      <c r="M71" s="437">
        <f t="shared" si="7"/>
        <v>0</v>
      </c>
      <c r="N71" s="444">
        <f t="shared" ref="N71:N75" si="8">ROUND(M71/$N$87,0)</f>
        <v>0</v>
      </c>
      <c r="O71" s="444">
        <f t="shared" ref="O71:O75" si="9">K71</f>
        <v>0</v>
      </c>
    </row>
    <row r="72" spans="1:15" ht="15.6" customHeight="1" x14ac:dyDescent="0.2">
      <c r="A72" s="424">
        <v>66</v>
      </c>
      <c r="B72" s="425" t="s">
        <v>196</v>
      </c>
      <c r="C72" s="555">
        <f>'8_2.1.21 SIS'!BG72</f>
        <v>0</v>
      </c>
      <c r="D72" s="556">
        <f>'9_Per Pupil Summary'!S71</f>
        <v>11498.85928950159</v>
      </c>
      <c r="E72" s="556">
        <f t="shared" ref="E72:E75" si="10">ROUND(C72*D72,0)</f>
        <v>0</v>
      </c>
      <c r="F72" s="556"/>
      <c r="G72" s="556"/>
      <c r="H72" s="557">
        <f>F72+G72</f>
        <v>0</v>
      </c>
      <c r="I72" s="558">
        <f t="shared" ref="I72:I75" si="11">E72+H72</f>
        <v>0</v>
      </c>
      <c r="J72" s="556">
        <f>'[1]5A4_NOCCA'!$H72</f>
        <v>0</v>
      </c>
      <c r="K72" s="558">
        <f>ROUND(SUM(I72:J72),0)</f>
        <v>0</v>
      </c>
      <c r="L72" s="427"/>
      <c r="M72" s="556">
        <f>K72-L72</f>
        <v>0</v>
      </c>
      <c r="N72" s="430">
        <f t="shared" si="8"/>
        <v>0</v>
      </c>
      <c r="O72" s="430">
        <f t="shared" si="9"/>
        <v>0</v>
      </c>
    </row>
    <row r="73" spans="1:15" ht="15.6" customHeight="1" x14ac:dyDescent="0.2">
      <c r="A73" s="424">
        <v>67</v>
      </c>
      <c r="B73" s="425" t="s">
        <v>197</v>
      </c>
      <c r="C73" s="555">
        <f>'8_2.1.21 SIS'!BG73</f>
        <v>0</v>
      </c>
      <c r="D73" s="556">
        <f>'9_Per Pupil Summary'!S72</f>
        <v>9460.3382591696136</v>
      </c>
      <c r="E73" s="556">
        <f t="shared" si="10"/>
        <v>0</v>
      </c>
      <c r="F73" s="556"/>
      <c r="G73" s="556"/>
      <c r="H73" s="557">
        <f>F73+G73</f>
        <v>0</v>
      </c>
      <c r="I73" s="558">
        <f t="shared" si="11"/>
        <v>0</v>
      </c>
      <c r="J73" s="556">
        <f>'[1]5A4_NOCCA'!$H73</f>
        <v>0</v>
      </c>
      <c r="K73" s="558">
        <f>ROUND(SUM(I73:J73),0)</f>
        <v>0</v>
      </c>
      <c r="L73" s="427"/>
      <c r="M73" s="556">
        <f>K73-L73</f>
        <v>0</v>
      </c>
      <c r="N73" s="430">
        <f t="shared" si="8"/>
        <v>0</v>
      </c>
      <c r="O73" s="430">
        <f t="shared" si="9"/>
        <v>0</v>
      </c>
    </row>
    <row r="74" spans="1:15" ht="15.6" customHeight="1" x14ac:dyDescent="0.2">
      <c r="A74" s="424">
        <v>68</v>
      </c>
      <c r="B74" s="425" t="s">
        <v>198</v>
      </c>
      <c r="C74" s="555">
        <f>'8_2.1.21 SIS'!BG74</f>
        <v>0</v>
      </c>
      <c r="D74" s="556">
        <f>'9_Per Pupil Summary'!S73</f>
        <v>10683.750168502916</v>
      </c>
      <c r="E74" s="556">
        <f t="shared" si="10"/>
        <v>0</v>
      </c>
      <c r="F74" s="556"/>
      <c r="G74" s="556"/>
      <c r="H74" s="557">
        <f>F74+G74</f>
        <v>0</v>
      </c>
      <c r="I74" s="558">
        <f t="shared" si="11"/>
        <v>0</v>
      </c>
      <c r="J74" s="556">
        <f>'[1]5A4_NOCCA'!$H74</f>
        <v>0</v>
      </c>
      <c r="K74" s="558">
        <f>ROUND(SUM(I74:J74),0)</f>
        <v>0</v>
      </c>
      <c r="L74" s="427"/>
      <c r="M74" s="556">
        <f>K74-L74</f>
        <v>0</v>
      </c>
      <c r="N74" s="430">
        <f t="shared" si="8"/>
        <v>0</v>
      </c>
      <c r="O74" s="430">
        <f t="shared" si="9"/>
        <v>0</v>
      </c>
    </row>
    <row r="75" spans="1:15" ht="15.6" customHeight="1" x14ac:dyDescent="0.2">
      <c r="A75" s="559">
        <v>69</v>
      </c>
      <c r="B75" s="560" t="s">
        <v>199</v>
      </c>
      <c r="C75" s="561">
        <f>'8_2.1.21 SIS'!BG75</f>
        <v>0</v>
      </c>
      <c r="D75" s="562">
        <f>'9_Per Pupil Summary'!S74</f>
        <v>9769.6102941176468</v>
      </c>
      <c r="E75" s="562">
        <f t="shared" si="10"/>
        <v>0</v>
      </c>
      <c r="F75" s="562"/>
      <c r="G75" s="562"/>
      <c r="H75" s="563">
        <f>F75+G75</f>
        <v>0</v>
      </c>
      <c r="I75" s="564">
        <f t="shared" si="11"/>
        <v>0</v>
      </c>
      <c r="J75" s="562">
        <f>'[1]5A4_NOCCA'!$H75</f>
        <v>0</v>
      </c>
      <c r="K75" s="564">
        <f>ROUND(SUM(I75:J75),0)</f>
        <v>0</v>
      </c>
      <c r="L75" s="565"/>
      <c r="M75" s="562">
        <f>K75-L75</f>
        <v>0</v>
      </c>
      <c r="N75" s="566">
        <f t="shared" si="8"/>
        <v>0</v>
      </c>
      <c r="O75" s="566">
        <f t="shared" si="9"/>
        <v>0</v>
      </c>
    </row>
    <row r="76" spans="1:15" s="41" customFormat="1" ht="15.6" customHeight="1" thickBot="1" x14ac:dyDescent="0.25">
      <c r="A76" s="1060" t="s">
        <v>751</v>
      </c>
      <c r="B76" s="1061"/>
      <c r="C76" s="526">
        <f>SUM(C7:C75)</f>
        <v>237</v>
      </c>
      <c r="D76" s="522"/>
      <c r="E76" s="524">
        <f>SUM(E7:E75)</f>
        <v>2206618</v>
      </c>
      <c r="F76" s="524">
        <f t="shared" ref="F76:L76" si="12">SUM(F7:F75)</f>
        <v>0</v>
      </c>
      <c r="G76" s="524">
        <f>SUM(G7:G75)</f>
        <v>0</v>
      </c>
      <c r="H76" s="567">
        <f t="shared" si="12"/>
        <v>0</v>
      </c>
      <c r="I76" s="568">
        <f>SUM(I7:I75)</f>
        <v>2206618</v>
      </c>
      <c r="J76" s="524">
        <f t="shared" si="12"/>
        <v>0</v>
      </c>
      <c r="K76" s="568">
        <f t="shared" si="12"/>
        <v>2206618</v>
      </c>
      <c r="L76" s="524">
        <f t="shared" si="12"/>
        <v>0</v>
      </c>
      <c r="M76" s="524">
        <f>SUM(M7:M75)</f>
        <v>2206618</v>
      </c>
      <c r="N76" s="568">
        <f>SUM(N7:N75)</f>
        <v>183886</v>
      </c>
      <c r="O76" s="568">
        <f>SUM(O7:O75)</f>
        <v>2206618</v>
      </c>
    </row>
    <row r="77" spans="1:15" s="404" customFormat="1" ht="15.6" customHeight="1" thickTop="1" x14ac:dyDescent="0.2">
      <c r="A77" s="1051" t="s">
        <v>752</v>
      </c>
      <c r="B77" s="1052"/>
      <c r="C77" s="569"/>
      <c r="D77" s="497"/>
      <c r="E77" s="570"/>
      <c r="F77" s="570"/>
      <c r="G77" s="570"/>
      <c r="H77" s="570"/>
      <c r="I77" s="570"/>
      <c r="J77" s="570"/>
      <c r="K77" s="498"/>
      <c r="L77" s="498"/>
      <c r="M77" s="497"/>
      <c r="N77" s="498"/>
      <c r="O77" s="498"/>
    </row>
    <row r="78" spans="1:15" s="404" customFormat="1" ht="15.6" customHeight="1" x14ac:dyDescent="0.2">
      <c r="A78" s="1064" t="s">
        <v>753</v>
      </c>
      <c r="B78" s="1065"/>
      <c r="C78" s="569"/>
      <c r="D78" s="497"/>
      <c r="E78" s="570"/>
      <c r="F78" s="570"/>
      <c r="G78" s="570"/>
      <c r="H78" s="570"/>
      <c r="I78" s="570"/>
      <c r="J78" s="570"/>
      <c r="K78" s="505">
        <v>0</v>
      </c>
      <c r="L78" s="498"/>
      <c r="M78" s="497">
        <f>K78-L78</f>
        <v>0</v>
      </c>
      <c r="N78" s="505">
        <f>ROUND(M78/$N$87,0)</f>
        <v>0</v>
      </c>
      <c r="O78" s="505">
        <v>0</v>
      </c>
    </row>
    <row r="79" spans="1:15" s="404" customFormat="1" ht="15.6" customHeight="1" x14ac:dyDescent="0.2">
      <c r="A79" s="1047" t="s">
        <v>754</v>
      </c>
      <c r="B79" s="1066"/>
      <c r="C79" s="571"/>
      <c r="D79" s="497"/>
      <c r="E79" s="572"/>
      <c r="F79" s="572"/>
      <c r="G79" s="572"/>
      <c r="H79" s="572"/>
      <c r="I79" s="572"/>
      <c r="J79" s="572"/>
      <c r="K79" s="498"/>
      <c r="L79" s="498"/>
      <c r="M79" s="497"/>
      <c r="N79" s="498"/>
      <c r="O79" s="505">
        <v>0</v>
      </c>
    </row>
    <row r="80" spans="1:15" s="404" customFormat="1" ht="15.6" customHeight="1" x14ac:dyDescent="0.2">
      <c r="A80" s="1043" t="s">
        <v>755</v>
      </c>
      <c r="B80" s="1062"/>
      <c r="C80" s="571"/>
      <c r="D80" s="497"/>
      <c r="E80" s="572"/>
      <c r="F80" s="572"/>
      <c r="G80" s="572"/>
      <c r="H80" s="572"/>
      <c r="I80" s="572"/>
      <c r="J80" s="572"/>
      <c r="K80" s="498"/>
      <c r="L80" s="498"/>
      <c r="M80" s="497"/>
      <c r="N80" s="498"/>
      <c r="O80" s="505">
        <v>10000</v>
      </c>
    </row>
    <row r="81" spans="1:15" s="404" customFormat="1" ht="15.6" customHeight="1" x14ac:dyDescent="0.2">
      <c r="A81" s="1043" t="s">
        <v>756</v>
      </c>
      <c r="B81" s="1062"/>
      <c r="C81" s="571"/>
      <c r="D81" s="497"/>
      <c r="E81" s="572"/>
      <c r="F81" s="572"/>
      <c r="G81" s="572"/>
      <c r="H81" s="572"/>
      <c r="I81" s="572"/>
      <c r="J81" s="572"/>
      <c r="K81" s="498"/>
      <c r="L81" s="498"/>
      <c r="M81" s="497"/>
      <c r="N81" s="498"/>
      <c r="O81" s="505">
        <v>0</v>
      </c>
    </row>
    <row r="82" spans="1:15" s="404" customFormat="1" ht="15.6" customHeight="1" x14ac:dyDescent="0.2">
      <c r="A82" s="1049" t="s">
        <v>757</v>
      </c>
      <c r="B82" s="1067"/>
      <c r="C82" s="573"/>
      <c r="D82" s="574"/>
      <c r="E82" s="575"/>
      <c r="F82" s="575"/>
      <c r="G82" s="575"/>
      <c r="H82" s="575"/>
      <c r="I82" s="575"/>
      <c r="J82" s="575"/>
      <c r="K82" s="576">
        <v>13983</v>
      </c>
      <c r="L82" s="577"/>
      <c r="M82" s="578">
        <f>K82-L82</f>
        <v>13983</v>
      </c>
      <c r="N82" s="576">
        <f>ROUND(M82/$N$87,0)</f>
        <v>1165</v>
      </c>
      <c r="O82" s="576">
        <v>13983</v>
      </c>
    </row>
    <row r="83" spans="1:15" s="404" customFormat="1" ht="15.6" customHeight="1" x14ac:dyDescent="0.2">
      <c r="A83" s="1043" t="s">
        <v>758</v>
      </c>
      <c r="B83" s="1062"/>
      <c r="C83" s="498"/>
      <c r="D83" s="498"/>
      <c r="E83" s="498"/>
      <c r="F83" s="498"/>
      <c r="G83" s="498"/>
      <c r="H83" s="498"/>
      <c r="I83" s="498"/>
      <c r="J83" s="498"/>
      <c r="K83" s="505">
        <v>88394</v>
      </c>
      <c r="L83" s="498"/>
      <c r="M83" s="497">
        <f t="shared" ref="M83:M84" si="13">K83-L83</f>
        <v>88394</v>
      </c>
      <c r="N83" s="505">
        <f t="shared" ref="N83:N84" si="14">ROUND(M83/$N$87,0)</f>
        <v>7366</v>
      </c>
      <c r="O83" s="505">
        <v>88394</v>
      </c>
    </row>
    <row r="84" spans="1:15" s="404" customFormat="1" ht="15.6" customHeight="1" x14ac:dyDescent="0.2">
      <c r="A84" s="1043" t="s">
        <v>759</v>
      </c>
      <c r="B84" s="1062"/>
      <c r="C84" s="498"/>
      <c r="D84" s="498"/>
      <c r="E84" s="498"/>
      <c r="F84" s="498"/>
      <c r="G84" s="498"/>
      <c r="H84" s="498"/>
      <c r="I84" s="498"/>
      <c r="J84" s="498"/>
      <c r="K84" s="505">
        <v>70716</v>
      </c>
      <c r="L84" s="498"/>
      <c r="M84" s="497">
        <f t="shared" si="13"/>
        <v>70716</v>
      </c>
      <c r="N84" s="505">
        <f t="shared" si="14"/>
        <v>5893</v>
      </c>
      <c r="O84" s="505">
        <v>70716</v>
      </c>
    </row>
    <row r="85" spans="1:15" s="41" customFormat="1" ht="15.6" customHeight="1" thickBot="1" x14ac:dyDescent="0.25">
      <c r="A85" s="1045" t="s">
        <v>760</v>
      </c>
      <c r="B85" s="1063"/>
      <c r="C85" s="526">
        <f>SUM(C76:C84)</f>
        <v>237</v>
      </c>
      <c r="D85" s="522"/>
      <c r="E85" s="524">
        <f>SUM(E76:E84)</f>
        <v>2206618</v>
      </c>
      <c r="F85" s="524">
        <f t="shared" ref="F85:O85" si="15">SUM(F76:F84)</f>
        <v>0</v>
      </c>
      <c r="G85" s="524">
        <f t="shared" si="15"/>
        <v>0</v>
      </c>
      <c r="H85" s="567">
        <f t="shared" si="15"/>
        <v>0</v>
      </c>
      <c r="I85" s="568">
        <f t="shared" si="15"/>
        <v>2206618</v>
      </c>
      <c r="J85" s="524">
        <f t="shared" si="15"/>
        <v>0</v>
      </c>
      <c r="K85" s="568">
        <f t="shared" si="15"/>
        <v>2379711</v>
      </c>
      <c r="L85" s="524">
        <f t="shared" si="15"/>
        <v>0</v>
      </c>
      <c r="M85" s="524">
        <f t="shared" si="15"/>
        <v>2379711</v>
      </c>
      <c r="N85" s="568">
        <f t="shared" si="15"/>
        <v>198310</v>
      </c>
      <c r="O85" s="568">
        <f t="shared" si="15"/>
        <v>2389711</v>
      </c>
    </row>
    <row r="86" spans="1:15" ht="13.5" thickTop="1" x14ac:dyDescent="0.2"/>
    <row r="87" spans="1:15" x14ac:dyDescent="0.2">
      <c r="N87" s="2">
        <v>12</v>
      </c>
    </row>
  </sheetData>
  <sheetProtection password="D893" sheet="1" objects="1" scenarios="1"/>
  <mergeCells count="14">
    <mergeCell ref="A84:B84"/>
    <mergeCell ref="A85:B85"/>
    <mergeCell ref="A78:B78"/>
    <mergeCell ref="A79:B79"/>
    <mergeCell ref="A80:B80"/>
    <mergeCell ref="A81:B81"/>
    <mergeCell ref="A82:B82"/>
    <mergeCell ref="A83:B83"/>
    <mergeCell ref="A77:B77"/>
    <mergeCell ref="A1:B3"/>
    <mergeCell ref="C1:H1"/>
    <mergeCell ref="I1:O1"/>
    <mergeCell ref="F2:H2"/>
    <mergeCell ref="A76:B76"/>
  </mergeCells>
  <printOptions horizontalCentered="1"/>
  <pageMargins left="0.35" right="0.35" top="0.85" bottom="0.35" header="0.3" footer="0.25"/>
  <pageSetup paperSize="5" scale="65" firstPageNumber="50" fitToWidth="0" fitToHeight="0" orientation="portrait" r:id="rId1"/>
  <headerFooter alignWithMargins="0">
    <oddHeader xml:space="preserve">&amp;L&amp;"Arial,Bold"&amp;20&amp;K000000FY2021-22 Budget Letter
July 2021&amp;R&amp;"Arial,Bold"&amp;12&amp;KFF0000
</oddHeader>
    <oddFooter>&amp;R&amp;9&amp;P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87"/>
  <sheetViews>
    <sheetView zoomScaleNormal="100" zoomScaleSheetLayoutView="100" workbookViewId="0">
      <pane xSplit="2" ySplit="6" topLeftCell="C7" activePane="bottomRight" state="frozen"/>
      <selection activeCell="A78" sqref="A78:B78"/>
      <selection pane="topRight" activeCell="A78" sqref="A78:B78"/>
      <selection pane="bottomLeft" activeCell="A78" sqref="A78:B78"/>
      <selection pane="bottomRight" activeCell="C7" sqref="C7"/>
    </sheetView>
  </sheetViews>
  <sheetFormatPr defaultColWidth="8.85546875" defaultRowHeight="12.75" x14ac:dyDescent="0.2"/>
  <cols>
    <col min="1" max="1" width="5" style="2" customWidth="1"/>
    <col min="2" max="2" width="27" style="2" customWidth="1"/>
    <col min="3" max="8" width="15.7109375" style="2" customWidth="1"/>
    <col min="9" max="9" width="14.140625" style="2" customWidth="1"/>
    <col min="10" max="10" width="13.42578125" style="2" bestFit="1" customWidth="1"/>
    <col min="11" max="11" width="17.85546875" style="2" customWidth="1"/>
    <col min="12" max="14" width="14.5703125" style="2" customWidth="1"/>
    <col min="15" max="15" width="19.140625" style="2" customWidth="1"/>
    <col min="16" max="16384" width="8.85546875" style="2"/>
  </cols>
  <sheetData>
    <row r="1" spans="1:15" ht="17.45" customHeight="1" x14ac:dyDescent="0.2">
      <c r="A1" s="1053" t="s">
        <v>777</v>
      </c>
      <c r="B1" s="1053"/>
      <c r="C1" s="1054" t="s">
        <v>625</v>
      </c>
      <c r="D1" s="1055"/>
      <c r="E1" s="1055"/>
      <c r="F1" s="1055"/>
      <c r="G1" s="1055"/>
      <c r="H1" s="1056"/>
      <c r="I1" s="1054" t="s">
        <v>625</v>
      </c>
      <c r="J1" s="1055"/>
      <c r="K1" s="1055"/>
      <c r="L1" s="1055"/>
      <c r="M1" s="1055"/>
      <c r="N1" s="1055"/>
      <c r="O1" s="1056"/>
    </row>
    <row r="2" spans="1:15" s="536" customFormat="1" ht="17.45" customHeight="1" x14ac:dyDescent="0.2">
      <c r="A2" s="1053"/>
      <c r="B2" s="1053"/>
      <c r="C2" s="579"/>
      <c r="D2" s="580"/>
      <c r="E2" s="580"/>
      <c r="F2" s="1057" t="s">
        <v>18</v>
      </c>
      <c r="G2" s="1058"/>
      <c r="H2" s="1059"/>
      <c r="I2" s="579"/>
      <c r="J2" s="580"/>
      <c r="K2" s="580"/>
      <c r="L2" s="580"/>
      <c r="M2" s="580"/>
      <c r="N2" s="580"/>
      <c r="O2" s="581"/>
    </row>
    <row r="3" spans="1:15" ht="138" customHeight="1" x14ac:dyDescent="0.2">
      <c r="A3" s="1053"/>
      <c r="B3" s="1053"/>
      <c r="C3" s="537" t="s">
        <v>626</v>
      </c>
      <c r="D3" s="538" t="s">
        <v>778</v>
      </c>
      <c r="E3" s="538" t="s">
        <v>779</v>
      </c>
      <c r="F3" s="539" t="s">
        <v>63</v>
      </c>
      <c r="G3" s="539" t="s">
        <v>64</v>
      </c>
      <c r="H3" s="539" t="s">
        <v>65</v>
      </c>
      <c r="I3" s="538" t="s">
        <v>765</v>
      </c>
      <c r="J3" s="540" t="s">
        <v>670</v>
      </c>
      <c r="K3" s="541" t="s">
        <v>766</v>
      </c>
      <c r="L3" s="541" t="s">
        <v>636</v>
      </c>
      <c r="M3" s="541" t="s">
        <v>637</v>
      </c>
      <c r="N3" s="541" t="s">
        <v>638</v>
      </c>
      <c r="O3" s="541" t="s">
        <v>767</v>
      </c>
    </row>
    <row r="4" spans="1:15" ht="14.25" customHeight="1" x14ac:dyDescent="0.2">
      <c r="A4" s="542"/>
      <c r="B4" s="543"/>
      <c r="C4" s="544">
        <v>1</v>
      </c>
      <c r="D4" s="544">
        <f>C4+1</f>
        <v>2</v>
      </c>
      <c r="E4" s="544">
        <f>D4+1</f>
        <v>3</v>
      </c>
      <c r="F4" s="544">
        <f t="shared" ref="F4:O4" si="0">E4+1</f>
        <v>4</v>
      </c>
      <c r="G4" s="544">
        <f t="shared" si="0"/>
        <v>5</v>
      </c>
      <c r="H4" s="544">
        <f t="shared" si="0"/>
        <v>6</v>
      </c>
      <c r="I4" s="544">
        <f t="shared" si="0"/>
        <v>7</v>
      </c>
      <c r="J4" s="544">
        <f t="shared" si="0"/>
        <v>8</v>
      </c>
      <c r="K4" s="544">
        <f t="shared" si="0"/>
        <v>9</v>
      </c>
      <c r="L4" s="544">
        <f t="shared" si="0"/>
        <v>10</v>
      </c>
      <c r="M4" s="544">
        <f t="shared" si="0"/>
        <v>11</v>
      </c>
      <c r="N4" s="544">
        <f t="shared" si="0"/>
        <v>12</v>
      </c>
      <c r="O4" s="544">
        <f t="shared" si="0"/>
        <v>13</v>
      </c>
    </row>
    <row r="5" spans="1:15" s="381" customFormat="1" ht="11.25" hidden="1" x14ac:dyDescent="0.2">
      <c r="A5" s="545"/>
      <c r="B5" s="545"/>
      <c r="C5" s="34" t="s">
        <v>73</v>
      </c>
      <c r="D5" s="34" t="s">
        <v>73</v>
      </c>
      <c r="E5" s="34" t="s">
        <v>74</v>
      </c>
      <c r="F5" s="34" t="s">
        <v>640</v>
      </c>
      <c r="G5" s="34" t="s">
        <v>640</v>
      </c>
      <c r="H5" s="34" t="s">
        <v>74</v>
      </c>
      <c r="I5" s="34" t="s">
        <v>74</v>
      </c>
      <c r="J5" s="34" t="s">
        <v>112</v>
      </c>
      <c r="K5" s="34" t="s">
        <v>731</v>
      </c>
      <c r="L5" s="34" t="s">
        <v>768</v>
      </c>
      <c r="M5" s="34" t="s">
        <v>74</v>
      </c>
      <c r="N5" s="34" t="s">
        <v>74</v>
      </c>
      <c r="O5" s="34" t="s">
        <v>733</v>
      </c>
    </row>
    <row r="6" spans="1:15" s="381" customFormat="1" ht="22.5" customHeight="1" x14ac:dyDescent="0.2">
      <c r="A6" s="545"/>
      <c r="B6" s="545"/>
      <c r="C6" s="546" t="s">
        <v>780</v>
      </c>
      <c r="D6" s="546" t="s">
        <v>770</v>
      </c>
      <c r="E6" s="546" t="s">
        <v>644</v>
      </c>
      <c r="F6" s="546" t="s">
        <v>115</v>
      </c>
      <c r="G6" s="546" t="s">
        <v>116</v>
      </c>
      <c r="H6" s="546" t="s">
        <v>649</v>
      </c>
      <c r="I6" s="546" t="s">
        <v>771</v>
      </c>
      <c r="J6" s="34" t="s">
        <v>112</v>
      </c>
      <c r="K6" s="546" t="s">
        <v>772</v>
      </c>
      <c r="L6" s="546" t="s">
        <v>773</v>
      </c>
      <c r="M6" s="546" t="s">
        <v>774</v>
      </c>
      <c r="N6" s="546" t="s">
        <v>775</v>
      </c>
      <c r="O6" s="546" t="s">
        <v>776</v>
      </c>
    </row>
    <row r="7" spans="1:15" ht="15.6" customHeight="1" x14ac:dyDescent="0.2">
      <c r="A7" s="547">
        <v>1</v>
      </c>
      <c r="B7" s="548" t="s">
        <v>131</v>
      </c>
      <c r="C7" s="549">
        <f>'8_2.1.21 SIS'!BF7</f>
        <v>3</v>
      </c>
      <c r="D7" s="550">
        <f>'9_Per Pupil Summary'!S6</f>
        <v>8622.6964429385825</v>
      </c>
      <c r="E7" s="550">
        <f>ROUND(C7*D7,0)</f>
        <v>25868</v>
      </c>
      <c r="F7" s="550"/>
      <c r="G7" s="550"/>
      <c r="H7" s="551">
        <f t="shared" ref="H7:H70" si="1">F7+G7</f>
        <v>0</v>
      </c>
      <c r="I7" s="552">
        <f>E7+H7</f>
        <v>25868</v>
      </c>
      <c r="J7" s="550">
        <f>'[1]5A5_LSMSA'!$H7</f>
        <v>0</v>
      </c>
      <c r="K7" s="552">
        <f>ROUND(SUM(I7:J7),0)</f>
        <v>25868</v>
      </c>
      <c r="L7" s="550"/>
      <c r="M7" s="550">
        <f>K7-L7</f>
        <v>25868</v>
      </c>
      <c r="N7" s="552">
        <f t="shared" ref="N7:N70" si="2">ROUND(M7/$N$87,0)</f>
        <v>2156</v>
      </c>
      <c r="O7" s="553">
        <f t="shared" ref="O7:O70" si="3">K7</f>
        <v>25868</v>
      </c>
    </row>
    <row r="8" spans="1:15" ht="15.6" customHeight="1" x14ac:dyDescent="0.2">
      <c r="A8" s="424">
        <v>2</v>
      </c>
      <c r="B8" s="425" t="s">
        <v>132</v>
      </c>
      <c r="C8" s="554">
        <f>'8_2.1.21 SIS'!BF8</f>
        <v>2</v>
      </c>
      <c r="D8" s="427">
        <f>'9_Per Pupil Summary'!S7</f>
        <v>10428.450576725025</v>
      </c>
      <c r="E8" s="427">
        <f t="shared" ref="E8:E71" si="4">ROUND(C8*D8,0)</f>
        <v>20857</v>
      </c>
      <c r="F8" s="427"/>
      <c r="G8" s="427"/>
      <c r="H8" s="431">
        <f t="shared" si="1"/>
        <v>0</v>
      </c>
      <c r="I8" s="430">
        <f t="shared" ref="I8:I71" si="5">E8+H8</f>
        <v>20857</v>
      </c>
      <c r="J8" s="427">
        <f>'[1]5A5_LSMSA'!$H8</f>
        <v>0</v>
      </c>
      <c r="K8" s="430">
        <f t="shared" ref="K8:K71" si="6">ROUND(SUM(I8:J8),0)</f>
        <v>20857</v>
      </c>
      <c r="L8" s="427"/>
      <c r="M8" s="427">
        <f t="shared" ref="M8:M71" si="7">K8-L8</f>
        <v>20857</v>
      </c>
      <c r="N8" s="430">
        <f t="shared" si="2"/>
        <v>1738</v>
      </c>
      <c r="O8" s="430">
        <f t="shared" si="3"/>
        <v>20857</v>
      </c>
    </row>
    <row r="9" spans="1:15" ht="15.6" customHeight="1" x14ac:dyDescent="0.2">
      <c r="A9" s="424">
        <v>3</v>
      </c>
      <c r="B9" s="425" t="s">
        <v>133</v>
      </c>
      <c r="C9" s="554">
        <f>'8_2.1.21 SIS'!BF9</f>
        <v>8</v>
      </c>
      <c r="D9" s="427">
        <f>'9_Per Pupil Summary'!S8</f>
        <v>8524.0766371065911</v>
      </c>
      <c r="E9" s="427">
        <f t="shared" si="4"/>
        <v>68193</v>
      </c>
      <c r="F9" s="427"/>
      <c r="G9" s="427"/>
      <c r="H9" s="431">
        <f t="shared" si="1"/>
        <v>0</v>
      </c>
      <c r="I9" s="430">
        <f t="shared" si="5"/>
        <v>68193</v>
      </c>
      <c r="J9" s="427">
        <f>'[1]5A5_LSMSA'!$H9</f>
        <v>0</v>
      </c>
      <c r="K9" s="430">
        <f t="shared" si="6"/>
        <v>68193</v>
      </c>
      <c r="L9" s="427"/>
      <c r="M9" s="427">
        <f t="shared" si="7"/>
        <v>68193</v>
      </c>
      <c r="N9" s="430">
        <f t="shared" si="2"/>
        <v>5683</v>
      </c>
      <c r="O9" s="430">
        <f t="shared" si="3"/>
        <v>68193</v>
      </c>
    </row>
    <row r="10" spans="1:15" ht="15.6" customHeight="1" x14ac:dyDescent="0.2">
      <c r="A10" s="424">
        <v>4</v>
      </c>
      <c r="B10" s="425" t="s">
        <v>134</v>
      </c>
      <c r="C10" s="554">
        <f>'8_2.1.21 SIS'!BF10</f>
        <v>1</v>
      </c>
      <c r="D10" s="427">
        <f>'9_Per Pupil Summary'!S9</f>
        <v>10320.058942924688</v>
      </c>
      <c r="E10" s="427">
        <f t="shared" si="4"/>
        <v>10320</v>
      </c>
      <c r="F10" s="427"/>
      <c r="G10" s="427"/>
      <c r="H10" s="431">
        <f t="shared" si="1"/>
        <v>0</v>
      </c>
      <c r="I10" s="430">
        <f t="shared" si="5"/>
        <v>10320</v>
      </c>
      <c r="J10" s="427">
        <f>'[1]5A5_LSMSA'!$H10</f>
        <v>0</v>
      </c>
      <c r="K10" s="430">
        <f t="shared" si="6"/>
        <v>10320</v>
      </c>
      <c r="L10" s="427"/>
      <c r="M10" s="427">
        <f t="shared" si="7"/>
        <v>10320</v>
      </c>
      <c r="N10" s="430">
        <f t="shared" si="2"/>
        <v>860</v>
      </c>
      <c r="O10" s="430">
        <f t="shared" si="3"/>
        <v>10320</v>
      </c>
    </row>
    <row r="11" spans="1:15" ht="15.6" customHeight="1" x14ac:dyDescent="0.2">
      <c r="A11" s="434">
        <v>5</v>
      </c>
      <c r="B11" s="435" t="s">
        <v>135</v>
      </c>
      <c r="C11" s="485">
        <f>'8_2.1.21 SIS'!BF11</f>
        <v>1</v>
      </c>
      <c r="D11" s="437">
        <f>'9_Per Pupil Summary'!S10</f>
        <v>8634.273484587402</v>
      </c>
      <c r="E11" s="437">
        <f t="shared" si="4"/>
        <v>8634</v>
      </c>
      <c r="F11" s="437"/>
      <c r="G11" s="437"/>
      <c r="H11" s="441">
        <f t="shared" si="1"/>
        <v>0</v>
      </c>
      <c r="I11" s="440">
        <f t="shared" si="5"/>
        <v>8634</v>
      </c>
      <c r="J11" s="437">
        <f>'[1]5A5_LSMSA'!$H11</f>
        <v>0</v>
      </c>
      <c r="K11" s="440">
        <f t="shared" si="6"/>
        <v>8634</v>
      </c>
      <c r="L11" s="443"/>
      <c r="M11" s="437">
        <f t="shared" si="7"/>
        <v>8634</v>
      </c>
      <c r="N11" s="444">
        <f t="shared" si="2"/>
        <v>720</v>
      </c>
      <c r="O11" s="440">
        <f t="shared" si="3"/>
        <v>8634</v>
      </c>
    </row>
    <row r="12" spans="1:15" ht="15.6" customHeight="1" x14ac:dyDescent="0.2">
      <c r="A12" s="547">
        <v>6</v>
      </c>
      <c r="B12" s="548" t="s">
        <v>136</v>
      </c>
      <c r="C12" s="549">
        <f>'8_2.1.21 SIS'!BF12</f>
        <v>3</v>
      </c>
      <c r="D12" s="550">
        <f>'9_Per Pupil Summary'!S11</f>
        <v>9752.1017584369438</v>
      </c>
      <c r="E12" s="550">
        <f t="shared" si="4"/>
        <v>29256</v>
      </c>
      <c r="F12" s="550"/>
      <c r="G12" s="550"/>
      <c r="H12" s="551">
        <f t="shared" si="1"/>
        <v>0</v>
      </c>
      <c r="I12" s="552">
        <f t="shared" si="5"/>
        <v>29256</v>
      </c>
      <c r="J12" s="550">
        <f>'[1]5A5_LSMSA'!$H12</f>
        <v>0</v>
      </c>
      <c r="K12" s="552">
        <f t="shared" si="6"/>
        <v>29256</v>
      </c>
      <c r="L12" s="550"/>
      <c r="M12" s="550">
        <f t="shared" si="7"/>
        <v>29256</v>
      </c>
      <c r="N12" s="552">
        <f t="shared" si="2"/>
        <v>2438</v>
      </c>
      <c r="O12" s="553">
        <f t="shared" si="3"/>
        <v>29256</v>
      </c>
    </row>
    <row r="13" spans="1:15" ht="15.6" customHeight="1" x14ac:dyDescent="0.2">
      <c r="A13" s="424">
        <v>7</v>
      </c>
      <c r="B13" s="425" t="s">
        <v>137</v>
      </c>
      <c r="C13" s="554">
        <f>'8_2.1.21 SIS'!BF13</f>
        <v>1</v>
      </c>
      <c r="D13" s="427">
        <f>'9_Per Pupil Summary'!S12</f>
        <v>9579.2945121951216</v>
      </c>
      <c r="E13" s="427">
        <f t="shared" si="4"/>
        <v>9579</v>
      </c>
      <c r="F13" s="427"/>
      <c r="G13" s="427"/>
      <c r="H13" s="431">
        <f t="shared" si="1"/>
        <v>0</v>
      </c>
      <c r="I13" s="430">
        <f t="shared" si="5"/>
        <v>9579</v>
      </c>
      <c r="J13" s="427">
        <f>'[1]5A5_LSMSA'!$H13</f>
        <v>0</v>
      </c>
      <c r="K13" s="430">
        <f t="shared" si="6"/>
        <v>9579</v>
      </c>
      <c r="L13" s="427"/>
      <c r="M13" s="427">
        <f t="shared" si="7"/>
        <v>9579</v>
      </c>
      <c r="N13" s="430">
        <f t="shared" si="2"/>
        <v>798</v>
      </c>
      <c r="O13" s="430">
        <f t="shared" si="3"/>
        <v>9579</v>
      </c>
    </row>
    <row r="14" spans="1:15" ht="15.6" customHeight="1" x14ac:dyDescent="0.2">
      <c r="A14" s="424">
        <v>8</v>
      </c>
      <c r="B14" s="425" t="s">
        <v>138</v>
      </c>
      <c r="C14" s="554">
        <f>'8_2.1.21 SIS'!BF14</f>
        <v>11</v>
      </c>
      <c r="D14" s="427">
        <f>'9_Per Pupil Summary'!S13</f>
        <v>9343.8343880326393</v>
      </c>
      <c r="E14" s="427">
        <f t="shared" si="4"/>
        <v>102782</v>
      </c>
      <c r="F14" s="427"/>
      <c r="G14" s="427"/>
      <c r="H14" s="431">
        <f t="shared" si="1"/>
        <v>0</v>
      </c>
      <c r="I14" s="430">
        <f t="shared" si="5"/>
        <v>102782</v>
      </c>
      <c r="J14" s="427">
        <f>'[1]5A5_LSMSA'!$H14</f>
        <v>0</v>
      </c>
      <c r="K14" s="430">
        <f t="shared" si="6"/>
        <v>102782</v>
      </c>
      <c r="L14" s="427"/>
      <c r="M14" s="427">
        <f t="shared" si="7"/>
        <v>102782</v>
      </c>
      <c r="N14" s="430">
        <f t="shared" si="2"/>
        <v>8565</v>
      </c>
      <c r="O14" s="430">
        <f t="shared" si="3"/>
        <v>102782</v>
      </c>
    </row>
    <row r="15" spans="1:15" ht="15.6" customHeight="1" x14ac:dyDescent="0.2">
      <c r="A15" s="424">
        <v>9</v>
      </c>
      <c r="B15" s="425" t="s">
        <v>139</v>
      </c>
      <c r="C15" s="554">
        <f>'8_2.1.21 SIS'!BF15</f>
        <v>5</v>
      </c>
      <c r="D15" s="427">
        <f>'9_Per Pupil Summary'!S14</f>
        <v>9224.1189218498184</v>
      </c>
      <c r="E15" s="427">
        <f t="shared" si="4"/>
        <v>46121</v>
      </c>
      <c r="F15" s="427"/>
      <c r="G15" s="427"/>
      <c r="H15" s="431">
        <f t="shared" si="1"/>
        <v>0</v>
      </c>
      <c r="I15" s="430">
        <f t="shared" si="5"/>
        <v>46121</v>
      </c>
      <c r="J15" s="427">
        <f>'[1]5A5_LSMSA'!$H15</f>
        <v>0</v>
      </c>
      <c r="K15" s="430">
        <f t="shared" si="6"/>
        <v>46121</v>
      </c>
      <c r="L15" s="427"/>
      <c r="M15" s="427">
        <f t="shared" si="7"/>
        <v>46121</v>
      </c>
      <c r="N15" s="430">
        <f t="shared" si="2"/>
        <v>3843</v>
      </c>
      <c r="O15" s="430">
        <f t="shared" si="3"/>
        <v>46121</v>
      </c>
    </row>
    <row r="16" spans="1:15" ht="15.6" customHeight="1" x14ac:dyDescent="0.2">
      <c r="A16" s="434">
        <v>10</v>
      </c>
      <c r="B16" s="435" t="s">
        <v>140</v>
      </c>
      <c r="C16" s="485">
        <f>'8_2.1.21 SIS'!BF16</f>
        <v>35</v>
      </c>
      <c r="D16" s="437">
        <f>'9_Per Pupil Summary'!S15</f>
        <v>8995.4376133402802</v>
      </c>
      <c r="E16" s="437">
        <f t="shared" si="4"/>
        <v>314840</v>
      </c>
      <c r="F16" s="437"/>
      <c r="G16" s="437"/>
      <c r="H16" s="441">
        <f t="shared" si="1"/>
        <v>0</v>
      </c>
      <c r="I16" s="440">
        <f t="shared" si="5"/>
        <v>314840</v>
      </c>
      <c r="J16" s="437">
        <f>'[1]5A5_LSMSA'!$H16</f>
        <v>0</v>
      </c>
      <c r="K16" s="440">
        <f t="shared" si="6"/>
        <v>314840</v>
      </c>
      <c r="L16" s="443"/>
      <c r="M16" s="437">
        <f t="shared" si="7"/>
        <v>314840</v>
      </c>
      <c r="N16" s="444">
        <f t="shared" si="2"/>
        <v>26237</v>
      </c>
      <c r="O16" s="440">
        <f t="shared" si="3"/>
        <v>314840</v>
      </c>
    </row>
    <row r="17" spans="1:15" ht="15.6" customHeight="1" x14ac:dyDescent="0.2">
      <c r="A17" s="547">
        <v>11</v>
      </c>
      <c r="B17" s="548" t="s">
        <v>141</v>
      </c>
      <c r="C17" s="549">
        <f>'8_2.1.21 SIS'!BF17</f>
        <v>2</v>
      </c>
      <c r="D17" s="550">
        <f>'9_Per Pupil Summary'!S16</f>
        <v>11326.541657754011</v>
      </c>
      <c r="E17" s="550">
        <f t="shared" si="4"/>
        <v>22653</v>
      </c>
      <c r="F17" s="550"/>
      <c r="G17" s="550"/>
      <c r="H17" s="551">
        <f t="shared" si="1"/>
        <v>0</v>
      </c>
      <c r="I17" s="552">
        <f t="shared" si="5"/>
        <v>22653</v>
      </c>
      <c r="J17" s="550">
        <f>'[1]5A5_LSMSA'!$H17</f>
        <v>0</v>
      </c>
      <c r="K17" s="552">
        <f t="shared" si="6"/>
        <v>22653</v>
      </c>
      <c r="L17" s="550"/>
      <c r="M17" s="550">
        <f t="shared" si="7"/>
        <v>22653</v>
      </c>
      <c r="N17" s="552">
        <f t="shared" si="2"/>
        <v>1888</v>
      </c>
      <c r="O17" s="553">
        <f t="shared" si="3"/>
        <v>22653</v>
      </c>
    </row>
    <row r="18" spans="1:15" ht="15.6" customHeight="1" x14ac:dyDescent="0.2">
      <c r="A18" s="424">
        <v>12</v>
      </c>
      <c r="B18" s="425" t="s">
        <v>142</v>
      </c>
      <c r="C18" s="554">
        <f>'8_2.1.21 SIS'!BF18</f>
        <v>0</v>
      </c>
      <c r="D18" s="427">
        <f>'9_Per Pupil Summary'!S17</f>
        <v>10349.101671087534</v>
      </c>
      <c r="E18" s="427">
        <f t="shared" si="4"/>
        <v>0</v>
      </c>
      <c r="F18" s="427"/>
      <c r="G18" s="427"/>
      <c r="H18" s="431">
        <f t="shared" si="1"/>
        <v>0</v>
      </c>
      <c r="I18" s="430">
        <f t="shared" si="5"/>
        <v>0</v>
      </c>
      <c r="J18" s="427">
        <f>'[1]5A5_LSMSA'!$H18</f>
        <v>0</v>
      </c>
      <c r="K18" s="430">
        <f t="shared" si="6"/>
        <v>0</v>
      </c>
      <c r="L18" s="427"/>
      <c r="M18" s="427">
        <f t="shared" si="7"/>
        <v>0</v>
      </c>
      <c r="N18" s="430">
        <f t="shared" si="2"/>
        <v>0</v>
      </c>
      <c r="O18" s="430">
        <f t="shared" si="3"/>
        <v>0</v>
      </c>
    </row>
    <row r="19" spans="1:15" ht="15.6" customHeight="1" x14ac:dyDescent="0.2">
      <c r="A19" s="424">
        <v>13</v>
      </c>
      <c r="B19" s="425" t="s">
        <v>143</v>
      </c>
      <c r="C19" s="554">
        <f>'8_2.1.21 SIS'!BF19</f>
        <v>0</v>
      </c>
      <c r="D19" s="427">
        <f>'9_Per Pupil Summary'!S18</f>
        <v>10789.676720475787</v>
      </c>
      <c r="E19" s="427">
        <f t="shared" si="4"/>
        <v>0</v>
      </c>
      <c r="F19" s="427"/>
      <c r="G19" s="427"/>
      <c r="H19" s="431">
        <f t="shared" si="1"/>
        <v>0</v>
      </c>
      <c r="I19" s="430">
        <f t="shared" si="5"/>
        <v>0</v>
      </c>
      <c r="J19" s="427">
        <f>'[1]5A5_LSMSA'!$H19</f>
        <v>0</v>
      </c>
      <c r="K19" s="430">
        <f t="shared" si="6"/>
        <v>0</v>
      </c>
      <c r="L19" s="427"/>
      <c r="M19" s="427">
        <f t="shared" si="7"/>
        <v>0</v>
      </c>
      <c r="N19" s="430">
        <f t="shared" si="2"/>
        <v>0</v>
      </c>
      <c r="O19" s="430">
        <f t="shared" si="3"/>
        <v>0</v>
      </c>
    </row>
    <row r="20" spans="1:15" ht="15.6" customHeight="1" x14ac:dyDescent="0.2">
      <c r="A20" s="424">
        <v>14</v>
      </c>
      <c r="B20" s="425" t="s">
        <v>144</v>
      </c>
      <c r="C20" s="554">
        <f>'8_2.1.21 SIS'!BF20</f>
        <v>0</v>
      </c>
      <c r="D20" s="427">
        <f>'9_Per Pupil Summary'!S19</f>
        <v>11827.515594405595</v>
      </c>
      <c r="E20" s="427">
        <f t="shared" si="4"/>
        <v>0</v>
      </c>
      <c r="F20" s="427"/>
      <c r="G20" s="427"/>
      <c r="H20" s="431">
        <f t="shared" si="1"/>
        <v>0</v>
      </c>
      <c r="I20" s="430">
        <f t="shared" si="5"/>
        <v>0</v>
      </c>
      <c r="J20" s="427">
        <f>'[1]5A5_LSMSA'!$H20</f>
        <v>0</v>
      </c>
      <c r="K20" s="430">
        <f t="shared" si="6"/>
        <v>0</v>
      </c>
      <c r="L20" s="427"/>
      <c r="M20" s="427">
        <f t="shared" si="7"/>
        <v>0</v>
      </c>
      <c r="N20" s="430">
        <f t="shared" si="2"/>
        <v>0</v>
      </c>
      <c r="O20" s="430">
        <f t="shared" si="3"/>
        <v>0</v>
      </c>
    </row>
    <row r="21" spans="1:15" ht="15.6" customHeight="1" x14ac:dyDescent="0.2">
      <c r="A21" s="434">
        <v>15</v>
      </c>
      <c r="B21" s="435" t="s">
        <v>145</v>
      </c>
      <c r="C21" s="485">
        <f>'8_2.1.21 SIS'!BF21</f>
        <v>2</v>
      </c>
      <c r="D21" s="437">
        <f>'9_Per Pupil Summary'!S20</f>
        <v>10278.433874709975</v>
      </c>
      <c r="E21" s="437">
        <f t="shared" si="4"/>
        <v>20557</v>
      </c>
      <c r="F21" s="437"/>
      <c r="G21" s="437"/>
      <c r="H21" s="441">
        <f t="shared" si="1"/>
        <v>0</v>
      </c>
      <c r="I21" s="440">
        <f t="shared" si="5"/>
        <v>20557</v>
      </c>
      <c r="J21" s="437">
        <f>'[1]5A5_LSMSA'!$H21</f>
        <v>0</v>
      </c>
      <c r="K21" s="440">
        <f t="shared" si="6"/>
        <v>20557</v>
      </c>
      <c r="L21" s="443"/>
      <c r="M21" s="437">
        <f t="shared" si="7"/>
        <v>20557</v>
      </c>
      <c r="N21" s="444">
        <f t="shared" si="2"/>
        <v>1713</v>
      </c>
      <c r="O21" s="440">
        <f t="shared" si="3"/>
        <v>20557</v>
      </c>
    </row>
    <row r="22" spans="1:15" ht="15.6" customHeight="1" x14ac:dyDescent="0.2">
      <c r="A22" s="547">
        <v>16</v>
      </c>
      <c r="B22" s="548" t="s">
        <v>146</v>
      </c>
      <c r="C22" s="549">
        <f>'8_2.1.21 SIS'!BF22</f>
        <v>1</v>
      </c>
      <c r="D22" s="550">
        <f>'9_Per Pupil Summary'!S21</f>
        <v>8575.9597860962567</v>
      </c>
      <c r="E22" s="550">
        <f t="shared" si="4"/>
        <v>8576</v>
      </c>
      <c r="F22" s="550"/>
      <c r="G22" s="550"/>
      <c r="H22" s="551">
        <f t="shared" si="1"/>
        <v>0</v>
      </c>
      <c r="I22" s="552">
        <f t="shared" si="5"/>
        <v>8576</v>
      </c>
      <c r="J22" s="550">
        <f>'[1]5A5_LSMSA'!$H22</f>
        <v>0</v>
      </c>
      <c r="K22" s="552">
        <f t="shared" si="6"/>
        <v>8576</v>
      </c>
      <c r="L22" s="550"/>
      <c r="M22" s="550">
        <f t="shared" si="7"/>
        <v>8576</v>
      </c>
      <c r="N22" s="552">
        <f t="shared" si="2"/>
        <v>715</v>
      </c>
      <c r="O22" s="553">
        <f t="shared" si="3"/>
        <v>8576</v>
      </c>
    </row>
    <row r="23" spans="1:15" ht="15.6" customHeight="1" x14ac:dyDescent="0.2">
      <c r="A23" s="424">
        <v>17</v>
      </c>
      <c r="B23" s="425" t="s">
        <v>147</v>
      </c>
      <c r="C23" s="554">
        <f>'8_2.1.21 SIS'!BF23</f>
        <v>9</v>
      </c>
      <c r="D23" s="427">
        <f>'9_Per Pupil Summary'!S22</f>
        <v>9012.4668992093539</v>
      </c>
      <c r="E23" s="427">
        <f t="shared" si="4"/>
        <v>81112</v>
      </c>
      <c r="F23" s="427"/>
      <c r="G23" s="427"/>
      <c r="H23" s="431">
        <f t="shared" si="1"/>
        <v>0</v>
      </c>
      <c r="I23" s="430">
        <f t="shared" si="5"/>
        <v>81112</v>
      </c>
      <c r="J23" s="427">
        <f>'[1]5A5_LSMSA'!$H23</f>
        <v>0</v>
      </c>
      <c r="K23" s="430">
        <f t="shared" si="6"/>
        <v>81112</v>
      </c>
      <c r="L23" s="427"/>
      <c r="M23" s="427">
        <f t="shared" si="7"/>
        <v>81112</v>
      </c>
      <c r="N23" s="430">
        <f t="shared" si="2"/>
        <v>6759</v>
      </c>
      <c r="O23" s="430">
        <f t="shared" si="3"/>
        <v>81112</v>
      </c>
    </row>
    <row r="24" spans="1:15" ht="15.6" customHeight="1" x14ac:dyDescent="0.2">
      <c r="A24" s="424">
        <v>18</v>
      </c>
      <c r="B24" s="425" t="s">
        <v>148</v>
      </c>
      <c r="C24" s="554">
        <f>'8_2.1.21 SIS'!BF24</f>
        <v>0</v>
      </c>
      <c r="D24" s="427">
        <f>'9_Per Pupil Summary'!S23</f>
        <v>10490.525317559153</v>
      </c>
      <c r="E24" s="427">
        <f t="shared" si="4"/>
        <v>0</v>
      </c>
      <c r="F24" s="427"/>
      <c r="G24" s="427"/>
      <c r="H24" s="431">
        <f t="shared" si="1"/>
        <v>0</v>
      </c>
      <c r="I24" s="430">
        <f t="shared" si="5"/>
        <v>0</v>
      </c>
      <c r="J24" s="427">
        <f>'[1]5A5_LSMSA'!$H24</f>
        <v>0</v>
      </c>
      <c r="K24" s="430">
        <f t="shared" si="6"/>
        <v>0</v>
      </c>
      <c r="L24" s="427"/>
      <c r="M24" s="427">
        <f t="shared" si="7"/>
        <v>0</v>
      </c>
      <c r="N24" s="430">
        <f t="shared" si="2"/>
        <v>0</v>
      </c>
      <c r="O24" s="430">
        <f t="shared" si="3"/>
        <v>0</v>
      </c>
    </row>
    <row r="25" spans="1:15" ht="15.6" customHeight="1" x14ac:dyDescent="0.2">
      <c r="A25" s="424">
        <v>19</v>
      </c>
      <c r="B25" s="425" t="s">
        <v>149</v>
      </c>
      <c r="C25" s="554">
        <f>'8_2.1.21 SIS'!BF25</f>
        <v>1</v>
      </c>
      <c r="D25" s="427">
        <f>'9_Per Pupil Summary'!S24</f>
        <v>10120.741296625223</v>
      </c>
      <c r="E25" s="427">
        <f t="shared" si="4"/>
        <v>10121</v>
      </c>
      <c r="F25" s="427"/>
      <c r="G25" s="427"/>
      <c r="H25" s="431">
        <f t="shared" si="1"/>
        <v>0</v>
      </c>
      <c r="I25" s="430">
        <f t="shared" si="5"/>
        <v>10121</v>
      </c>
      <c r="J25" s="427">
        <f>'[1]5A5_LSMSA'!$H25</f>
        <v>0</v>
      </c>
      <c r="K25" s="430">
        <f t="shared" si="6"/>
        <v>10121</v>
      </c>
      <c r="L25" s="427"/>
      <c r="M25" s="427">
        <f t="shared" si="7"/>
        <v>10121</v>
      </c>
      <c r="N25" s="430">
        <f t="shared" si="2"/>
        <v>843</v>
      </c>
      <c r="O25" s="430">
        <f t="shared" si="3"/>
        <v>10121</v>
      </c>
    </row>
    <row r="26" spans="1:15" ht="15.6" customHeight="1" x14ac:dyDescent="0.2">
      <c r="A26" s="434">
        <v>20</v>
      </c>
      <c r="B26" s="435" t="s">
        <v>150</v>
      </c>
      <c r="C26" s="485">
        <f>'8_2.1.21 SIS'!BF26</f>
        <v>3</v>
      </c>
      <c r="D26" s="437">
        <f>'9_Per Pupil Summary'!S25</f>
        <v>9440.8496085538245</v>
      </c>
      <c r="E26" s="437">
        <f t="shared" si="4"/>
        <v>28323</v>
      </c>
      <c r="F26" s="437"/>
      <c r="G26" s="437"/>
      <c r="H26" s="441">
        <f t="shared" si="1"/>
        <v>0</v>
      </c>
      <c r="I26" s="440">
        <f t="shared" si="5"/>
        <v>28323</v>
      </c>
      <c r="J26" s="437">
        <f>'[1]5A5_LSMSA'!$H26</f>
        <v>0</v>
      </c>
      <c r="K26" s="440">
        <f t="shared" si="6"/>
        <v>28323</v>
      </c>
      <c r="L26" s="443"/>
      <c r="M26" s="437">
        <f t="shared" si="7"/>
        <v>28323</v>
      </c>
      <c r="N26" s="444">
        <f t="shared" si="2"/>
        <v>2360</v>
      </c>
      <c r="O26" s="440">
        <f t="shared" si="3"/>
        <v>28323</v>
      </c>
    </row>
    <row r="27" spans="1:15" ht="15.6" customHeight="1" x14ac:dyDescent="0.2">
      <c r="A27" s="547">
        <v>21</v>
      </c>
      <c r="B27" s="548" t="s">
        <v>151</v>
      </c>
      <c r="C27" s="549">
        <f>'8_2.1.21 SIS'!BF27</f>
        <v>2</v>
      </c>
      <c r="D27" s="550">
        <f>'9_Per Pupil Summary'!S26</f>
        <v>10076.676877470356</v>
      </c>
      <c r="E27" s="550">
        <f t="shared" si="4"/>
        <v>20153</v>
      </c>
      <c r="F27" s="550"/>
      <c r="G27" s="550"/>
      <c r="H27" s="551">
        <f t="shared" si="1"/>
        <v>0</v>
      </c>
      <c r="I27" s="552">
        <f t="shared" si="5"/>
        <v>20153</v>
      </c>
      <c r="J27" s="550">
        <f>'[1]5A5_LSMSA'!$H27</f>
        <v>0</v>
      </c>
      <c r="K27" s="552">
        <f t="shared" si="6"/>
        <v>20153</v>
      </c>
      <c r="L27" s="550"/>
      <c r="M27" s="550">
        <f t="shared" si="7"/>
        <v>20153</v>
      </c>
      <c r="N27" s="552">
        <f t="shared" si="2"/>
        <v>1679</v>
      </c>
      <c r="O27" s="553">
        <f t="shared" si="3"/>
        <v>20153</v>
      </c>
    </row>
    <row r="28" spans="1:15" ht="15.6" customHeight="1" x14ac:dyDescent="0.2">
      <c r="A28" s="424">
        <v>22</v>
      </c>
      <c r="B28" s="425" t="s">
        <v>152</v>
      </c>
      <c r="C28" s="554">
        <f>'8_2.1.21 SIS'!BF28</f>
        <v>0</v>
      </c>
      <c r="D28" s="427">
        <f>'9_Per Pupil Summary'!S27</f>
        <v>10046.936225680933</v>
      </c>
      <c r="E28" s="427">
        <f t="shared" si="4"/>
        <v>0</v>
      </c>
      <c r="F28" s="427"/>
      <c r="G28" s="427"/>
      <c r="H28" s="431">
        <f t="shared" si="1"/>
        <v>0</v>
      </c>
      <c r="I28" s="430">
        <f t="shared" si="5"/>
        <v>0</v>
      </c>
      <c r="J28" s="427">
        <f>'[1]5A5_LSMSA'!$H28</f>
        <v>0</v>
      </c>
      <c r="K28" s="430">
        <f t="shared" si="6"/>
        <v>0</v>
      </c>
      <c r="L28" s="427"/>
      <c r="M28" s="427">
        <f t="shared" si="7"/>
        <v>0</v>
      </c>
      <c r="N28" s="430">
        <f t="shared" si="2"/>
        <v>0</v>
      </c>
      <c r="O28" s="430">
        <f t="shared" si="3"/>
        <v>0</v>
      </c>
    </row>
    <row r="29" spans="1:15" ht="15.6" customHeight="1" x14ac:dyDescent="0.2">
      <c r="A29" s="424">
        <v>23</v>
      </c>
      <c r="B29" s="425" t="s">
        <v>153</v>
      </c>
      <c r="C29" s="554">
        <f>'8_2.1.21 SIS'!BF29</f>
        <v>4</v>
      </c>
      <c r="D29" s="427">
        <f>'9_Per Pupil Summary'!S28</f>
        <v>9609.2676525901861</v>
      </c>
      <c r="E29" s="427">
        <f t="shared" si="4"/>
        <v>38437</v>
      </c>
      <c r="F29" s="427"/>
      <c r="G29" s="427"/>
      <c r="H29" s="431">
        <f t="shared" si="1"/>
        <v>0</v>
      </c>
      <c r="I29" s="430">
        <f t="shared" si="5"/>
        <v>38437</v>
      </c>
      <c r="J29" s="427">
        <f>'[1]5A5_LSMSA'!$H29</f>
        <v>0</v>
      </c>
      <c r="K29" s="430">
        <f t="shared" si="6"/>
        <v>38437</v>
      </c>
      <c r="L29" s="427"/>
      <c r="M29" s="427">
        <f t="shared" si="7"/>
        <v>38437</v>
      </c>
      <c r="N29" s="430">
        <f t="shared" si="2"/>
        <v>3203</v>
      </c>
      <c r="O29" s="430">
        <f t="shared" si="3"/>
        <v>38437</v>
      </c>
    </row>
    <row r="30" spans="1:15" ht="15.6" customHeight="1" x14ac:dyDescent="0.2">
      <c r="A30" s="424">
        <v>24</v>
      </c>
      <c r="B30" s="425" t="s">
        <v>154</v>
      </c>
      <c r="C30" s="554">
        <f>'8_2.1.21 SIS'!BF30</f>
        <v>1</v>
      </c>
      <c r="D30" s="427">
        <f>'9_Per Pupil Summary'!S29</f>
        <v>9353.5173744619806</v>
      </c>
      <c r="E30" s="427">
        <f t="shared" si="4"/>
        <v>9354</v>
      </c>
      <c r="F30" s="427"/>
      <c r="G30" s="427"/>
      <c r="H30" s="431">
        <f t="shared" si="1"/>
        <v>0</v>
      </c>
      <c r="I30" s="430">
        <f t="shared" si="5"/>
        <v>9354</v>
      </c>
      <c r="J30" s="427">
        <f>'[1]5A5_LSMSA'!$H30</f>
        <v>0</v>
      </c>
      <c r="K30" s="430">
        <f t="shared" si="6"/>
        <v>9354</v>
      </c>
      <c r="L30" s="427"/>
      <c r="M30" s="427">
        <f t="shared" si="7"/>
        <v>9354</v>
      </c>
      <c r="N30" s="430">
        <f t="shared" si="2"/>
        <v>780</v>
      </c>
      <c r="O30" s="430">
        <f t="shared" si="3"/>
        <v>9354</v>
      </c>
    </row>
    <row r="31" spans="1:15" ht="15.6" customHeight="1" x14ac:dyDescent="0.2">
      <c r="A31" s="434">
        <v>25</v>
      </c>
      <c r="B31" s="435" t="s">
        <v>155</v>
      </c>
      <c r="C31" s="485">
        <f>'8_2.1.21 SIS'!BF31</f>
        <v>1</v>
      </c>
      <c r="D31" s="437">
        <f>'9_Per Pupil Summary'!S30</f>
        <v>9970.9650491343</v>
      </c>
      <c r="E31" s="437">
        <f t="shared" si="4"/>
        <v>9971</v>
      </c>
      <c r="F31" s="437"/>
      <c r="G31" s="437"/>
      <c r="H31" s="441">
        <f t="shared" si="1"/>
        <v>0</v>
      </c>
      <c r="I31" s="440">
        <f t="shared" si="5"/>
        <v>9971</v>
      </c>
      <c r="J31" s="437">
        <f>'[1]5A5_LSMSA'!$H31</f>
        <v>0</v>
      </c>
      <c r="K31" s="440">
        <f t="shared" si="6"/>
        <v>9971</v>
      </c>
      <c r="L31" s="443"/>
      <c r="M31" s="437">
        <f t="shared" si="7"/>
        <v>9971</v>
      </c>
      <c r="N31" s="444">
        <f t="shared" si="2"/>
        <v>831</v>
      </c>
      <c r="O31" s="440">
        <f t="shared" si="3"/>
        <v>9971</v>
      </c>
    </row>
    <row r="32" spans="1:15" ht="15.6" customHeight="1" x14ac:dyDescent="0.2">
      <c r="A32" s="547">
        <v>26</v>
      </c>
      <c r="B32" s="548" t="s">
        <v>156</v>
      </c>
      <c r="C32" s="549">
        <f>'8_2.1.21 SIS'!BF32</f>
        <v>5</v>
      </c>
      <c r="D32" s="550">
        <f>'9_Per Pupil Summary'!S31</f>
        <v>9442.5982912636937</v>
      </c>
      <c r="E32" s="550">
        <f t="shared" si="4"/>
        <v>47213</v>
      </c>
      <c r="F32" s="550"/>
      <c r="G32" s="550"/>
      <c r="H32" s="551">
        <f t="shared" si="1"/>
        <v>0</v>
      </c>
      <c r="I32" s="552">
        <f t="shared" si="5"/>
        <v>47213</v>
      </c>
      <c r="J32" s="550">
        <f>'[1]5A5_LSMSA'!$H32</f>
        <v>0</v>
      </c>
      <c r="K32" s="552">
        <f t="shared" si="6"/>
        <v>47213</v>
      </c>
      <c r="L32" s="550"/>
      <c r="M32" s="550">
        <f t="shared" si="7"/>
        <v>47213</v>
      </c>
      <c r="N32" s="552">
        <f t="shared" si="2"/>
        <v>3934</v>
      </c>
      <c r="O32" s="553">
        <f t="shared" si="3"/>
        <v>47213</v>
      </c>
    </row>
    <row r="33" spans="1:15" ht="15.6" customHeight="1" x14ac:dyDescent="0.2">
      <c r="A33" s="424">
        <v>27</v>
      </c>
      <c r="B33" s="425" t="s">
        <v>157</v>
      </c>
      <c r="C33" s="554">
        <f>'8_2.1.21 SIS'!BF33</f>
        <v>0</v>
      </c>
      <c r="D33" s="427">
        <f>'9_Per Pupil Summary'!S32</f>
        <v>10120.503559636432</v>
      </c>
      <c r="E33" s="427">
        <f t="shared" si="4"/>
        <v>0</v>
      </c>
      <c r="F33" s="427"/>
      <c r="G33" s="427"/>
      <c r="H33" s="431">
        <f t="shared" si="1"/>
        <v>0</v>
      </c>
      <c r="I33" s="430">
        <f t="shared" si="5"/>
        <v>0</v>
      </c>
      <c r="J33" s="427">
        <f>'[1]5A5_LSMSA'!$H33</f>
        <v>0</v>
      </c>
      <c r="K33" s="430">
        <f t="shared" si="6"/>
        <v>0</v>
      </c>
      <c r="L33" s="427"/>
      <c r="M33" s="427">
        <f t="shared" si="7"/>
        <v>0</v>
      </c>
      <c r="N33" s="430">
        <f t="shared" si="2"/>
        <v>0</v>
      </c>
      <c r="O33" s="430">
        <f t="shared" si="3"/>
        <v>0</v>
      </c>
    </row>
    <row r="34" spans="1:15" ht="15.6" customHeight="1" x14ac:dyDescent="0.2">
      <c r="A34" s="424">
        <v>28</v>
      </c>
      <c r="B34" s="425" t="s">
        <v>158</v>
      </c>
      <c r="C34" s="554">
        <f>'8_2.1.21 SIS'!BF34</f>
        <v>11</v>
      </c>
      <c r="D34" s="427">
        <f>'9_Per Pupil Summary'!S33</f>
        <v>8639.8320657906497</v>
      </c>
      <c r="E34" s="427">
        <f t="shared" si="4"/>
        <v>95038</v>
      </c>
      <c r="F34" s="427"/>
      <c r="G34" s="427"/>
      <c r="H34" s="431">
        <f t="shared" si="1"/>
        <v>0</v>
      </c>
      <c r="I34" s="430">
        <f t="shared" si="5"/>
        <v>95038</v>
      </c>
      <c r="J34" s="427">
        <f>'[1]5A5_LSMSA'!$H34</f>
        <v>0</v>
      </c>
      <c r="K34" s="430">
        <f t="shared" si="6"/>
        <v>95038</v>
      </c>
      <c r="L34" s="427"/>
      <c r="M34" s="427">
        <f t="shared" si="7"/>
        <v>95038</v>
      </c>
      <c r="N34" s="430">
        <f t="shared" si="2"/>
        <v>7920</v>
      </c>
      <c r="O34" s="430">
        <f t="shared" si="3"/>
        <v>95038</v>
      </c>
    </row>
    <row r="35" spans="1:15" ht="15.6" customHeight="1" x14ac:dyDescent="0.2">
      <c r="A35" s="424">
        <v>29</v>
      </c>
      <c r="B35" s="425" t="s">
        <v>159</v>
      </c>
      <c r="C35" s="554">
        <f>'8_2.1.21 SIS'!BF35</f>
        <v>8</v>
      </c>
      <c r="D35" s="427">
        <f>'9_Per Pupil Summary'!S34</f>
        <v>8903.7948520920945</v>
      </c>
      <c r="E35" s="427">
        <f t="shared" si="4"/>
        <v>71230</v>
      </c>
      <c r="F35" s="427"/>
      <c r="G35" s="427"/>
      <c r="H35" s="431">
        <f t="shared" si="1"/>
        <v>0</v>
      </c>
      <c r="I35" s="430">
        <f t="shared" si="5"/>
        <v>71230</v>
      </c>
      <c r="J35" s="427">
        <f>'[1]5A5_LSMSA'!$H35</f>
        <v>0</v>
      </c>
      <c r="K35" s="430">
        <f t="shared" si="6"/>
        <v>71230</v>
      </c>
      <c r="L35" s="427"/>
      <c r="M35" s="427">
        <f t="shared" si="7"/>
        <v>71230</v>
      </c>
      <c r="N35" s="430">
        <f t="shared" si="2"/>
        <v>5936</v>
      </c>
      <c r="O35" s="430">
        <f t="shared" si="3"/>
        <v>71230</v>
      </c>
    </row>
    <row r="36" spans="1:15" ht="15.6" customHeight="1" x14ac:dyDescent="0.2">
      <c r="A36" s="434">
        <v>30</v>
      </c>
      <c r="B36" s="435" t="s">
        <v>160</v>
      </c>
      <c r="C36" s="485">
        <f>'8_2.1.21 SIS'!BF36</f>
        <v>0</v>
      </c>
      <c r="D36" s="437">
        <f>'9_Per Pupil Summary'!S35</f>
        <v>10156.06742411813</v>
      </c>
      <c r="E36" s="437">
        <f t="shared" si="4"/>
        <v>0</v>
      </c>
      <c r="F36" s="437"/>
      <c r="G36" s="437"/>
      <c r="H36" s="441">
        <f t="shared" si="1"/>
        <v>0</v>
      </c>
      <c r="I36" s="440">
        <f t="shared" si="5"/>
        <v>0</v>
      </c>
      <c r="J36" s="437">
        <f>'[1]5A5_LSMSA'!$H36</f>
        <v>0</v>
      </c>
      <c r="K36" s="440">
        <f t="shared" si="6"/>
        <v>0</v>
      </c>
      <c r="L36" s="443"/>
      <c r="M36" s="437">
        <f t="shared" si="7"/>
        <v>0</v>
      </c>
      <c r="N36" s="444">
        <f t="shared" si="2"/>
        <v>0</v>
      </c>
      <c r="O36" s="440">
        <f t="shared" si="3"/>
        <v>0</v>
      </c>
    </row>
    <row r="37" spans="1:15" ht="15.6" customHeight="1" x14ac:dyDescent="0.2">
      <c r="A37" s="547">
        <v>31</v>
      </c>
      <c r="B37" s="548" t="s">
        <v>161</v>
      </c>
      <c r="C37" s="549">
        <f>'8_2.1.21 SIS'!BF37</f>
        <v>7</v>
      </c>
      <c r="D37" s="550">
        <f>'9_Per Pupil Summary'!S36</f>
        <v>9660.7198193760269</v>
      </c>
      <c r="E37" s="550">
        <f t="shared" si="4"/>
        <v>67625</v>
      </c>
      <c r="F37" s="550"/>
      <c r="G37" s="550"/>
      <c r="H37" s="551">
        <f t="shared" si="1"/>
        <v>0</v>
      </c>
      <c r="I37" s="552">
        <f t="shared" si="5"/>
        <v>67625</v>
      </c>
      <c r="J37" s="550">
        <f>'[1]5A5_LSMSA'!$H37</f>
        <v>0</v>
      </c>
      <c r="K37" s="552">
        <f t="shared" si="6"/>
        <v>67625</v>
      </c>
      <c r="L37" s="550"/>
      <c r="M37" s="550">
        <f t="shared" si="7"/>
        <v>67625</v>
      </c>
      <c r="N37" s="552">
        <f t="shared" si="2"/>
        <v>5635</v>
      </c>
      <c r="O37" s="553">
        <f t="shared" si="3"/>
        <v>67625</v>
      </c>
    </row>
    <row r="38" spans="1:15" ht="15.6" customHeight="1" x14ac:dyDescent="0.2">
      <c r="A38" s="424">
        <v>32</v>
      </c>
      <c r="B38" s="425" t="s">
        <v>162</v>
      </c>
      <c r="C38" s="554">
        <f>'8_2.1.21 SIS'!BF38</f>
        <v>12</v>
      </c>
      <c r="D38" s="427">
        <f>'9_Per Pupil Summary'!S37</f>
        <v>9496.9261784675073</v>
      </c>
      <c r="E38" s="427">
        <f t="shared" si="4"/>
        <v>113963</v>
      </c>
      <c r="F38" s="427"/>
      <c r="G38" s="427"/>
      <c r="H38" s="431">
        <f t="shared" si="1"/>
        <v>0</v>
      </c>
      <c r="I38" s="430">
        <f t="shared" si="5"/>
        <v>113963</v>
      </c>
      <c r="J38" s="427">
        <f>'[1]5A5_LSMSA'!$H38</f>
        <v>0</v>
      </c>
      <c r="K38" s="430">
        <f t="shared" si="6"/>
        <v>113963</v>
      </c>
      <c r="L38" s="427"/>
      <c r="M38" s="427">
        <f t="shared" si="7"/>
        <v>113963</v>
      </c>
      <c r="N38" s="430">
        <f t="shared" si="2"/>
        <v>9497</v>
      </c>
      <c r="O38" s="430">
        <f t="shared" si="3"/>
        <v>113963</v>
      </c>
    </row>
    <row r="39" spans="1:15" ht="15.6" customHeight="1" x14ac:dyDescent="0.2">
      <c r="A39" s="424">
        <v>33</v>
      </c>
      <c r="B39" s="425" t="s">
        <v>163</v>
      </c>
      <c r="C39" s="554">
        <f>'8_2.1.21 SIS'!BF39</f>
        <v>1</v>
      </c>
      <c r="D39" s="427">
        <f>'9_Per Pupil Summary'!S38</f>
        <v>10861.667897091724</v>
      </c>
      <c r="E39" s="427">
        <f t="shared" si="4"/>
        <v>10862</v>
      </c>
      <c r="F39" s="427"/>
      <c r="G39" s="427"/>
      <c r="H39" s="431">
        <f t="shared" si="1"/>
        <v>0</v>
      </c>
      <c r="I39" s="430">
        <f t="shared" si="5"/>
        <v>10862</v>
      </c>
      <c r="J39" s="427">
        <f>'[1]5A5_LSMSA'!$H39</f>
        <v>0</v>
      </c>
      <c r="K39" s="430">
        <f t="shared" si="6"/>
        <v>10862</v>
      </c>
      <c r="L39" s="427"/>
      <c r="M39" s="427">
        <f t="shared" si="7"/>
        <v>10862</v>
      </c>
      <c r="N39" s="430">
        <f t="shared" si="2"/>
        <v>905</v>
      </c>
      <c r="O39" s="430">
        <f t="shared" si="3"/>
        <v>10862</v>
      </c>
    </row>
    <row r="40" spans="1:15" ht="15.6" customHeight="1" x14ac:dyDescent="0.2">
      <c r="A40" s="424">
        <v>34</v>
      </c>
      <c r="B40" s="425" t="s">
        <v>164</v>
      </c>
      <c r="C40" s="554">
        <f>'8_2.1.21 SIS'!BF40</f>
        <v>0</v>
      </c>
      <c r="D40" s="427">
        <f>'9_Per Pupil Summary'!S39</f>
        <v>10761.851322561341</v>
      </c>
      <c r="E40" s="427">
        <f t="shared" si="4"/>
        <v>0</v>
      </c>
      <c r="F40" s="427"/>
      <c r="G40" s="427"/>
      <c r="H40" s="431">
        <f t="shared" si="1"/>
        <v>0</v>
      </c>
      <c r="I40" s="430">
        <f t="shared" si="5"/>
        <v>0</v>
      </c>
      <c r="J40" s="427">
        <f>'[1]5A5_LSMSA'!$H40</f>
        <v>0</v>
      </c>
      <c r="K40" s="430">
        <f t="shared" si="6"/>
        <v>0</v>
      </c>
      <c r="L40" s="427"/>
      <c r="M40" s="427">
        <f t="shared" si="7"/>
        <v>0</v>
      </c>
      <c r="N40" s="430">
        <f t="shared" si="2"/>
        <v>0</v>
      </c>
      <c r="O40" s="430">
        <f t="shared" si="3"/>
        <v>0</v>
      </c>
    </row>
    <row r="41" spans="1:15" ht="15.6" customHeight="1" x14ac:dyDescent="0.2">
      <c r="A41" s="434">
        <v>35</v>
      </c>
      <c r="B41" s="435" t="s">
        <v>165</v>
      </c>
      <c r="C41" s="485">
        <f>'8_2.1.21 SIS'!BF41</f>
        <v>21</v>
      </c>
      <c r="D41" s="437">
        <f>'9_Per Pupil Summary'!S40</f>
        <v>9499.745693160814</v>
      </c>
      <c r="E41" s="437">
        <f t="shared" si="4"/>
        <v>199495</v>
      </c>
      <c r="F41" s="437"/>
      <c r="G41" s="437"/>
      <c r="H41" s="441">
        <f t="shared" si="1"/>
        <v>0</v>
      </c>
      <c r="I41" s="440">
        <f t="shared" si="5"/>
        <v>199495</v>
      </c>
      <c r="J41" s="437">
        <f>'[1]5A5_LSMSA'!$H41</f>
        <v>0</v>
      </c>
      <c r="K41" s="440">
        <f t="shared" si="6"/>
        <v>199495</v>
      </c>
      <c r="L41" s="443"/>
      <c r="M41" s="437">
        <f t="shared" si="7"/>
        <v>199495</v>
      </c>
      <c r="N41" s="444">
        <f t="shared" si="2"/>
        <v>16625</v>
      </c>
      <c r="O41" s="440">
        <f t="shared" si="3"/>
        <v>199495</v>
      </c>
    </row>
    <row r="42" spans="1:15" ht="15.6" customHeight="1" x14ac:dyDescent="0.2">
      <c r="A42" s="547">
        <v>36</v>
      </c>
      <c r="B42" s="548" t="s">
        <v>166</v>
      </c>
      <c r="C42" s="549">
        <f>'8_2.1.21 SIS'!BF42</f>
        <v>0</v>
      </c>
      <c r="D42" s="550">
        <f>'9_Per Pupil Summary'!S41</f>
        <v>9206.5862800875275</v>
      </c>
      <c r="E42" s="550">
        <f t="shared" si="4"/>
        <v>0</v>
      </c>
      <c r="F42" s="550"/>
      <c r="G42" s="550"/>
      <c r="H42" s="551">
        <f t="shared" si="1"/>
        <v>0</v>
      </c>
      <c r="I42" s="552">
        <f t="shared" si="5"/>
        <v>0</v>
      </c>
      <c r="J42" s="550">
        <f>'[1]5A5_LSMSA'!$H42</f>
        <v>0</v>
      </c>
      <c r="K42" s="552">
        <f t="shared" si="6"/>
        <v>0</v>
      </c>
      <c r="L42" s="550"/>
      <c r="M42" s="550">
        <f t="shared" si="7"/>
        <v>0</v>
      </c>
      <c r="N42" s="552">
        <f t="shared" si="2"/>
        <v>0</v>
      </c>
      <c r="O42" s="553">
        <f t="shared" si="3"/>
        <v>0</v>
      </c>
    </row>
    <row r="43" spans="1:15" ht="15.6" customHeight="1" x14ac:dyDescent="0.2">
      <c r="A43" s="424">
        <v>37</v>
      </c>
      <c r="B43" s="425" t="s">
        <v>167</v>
      </c>
      <c r="C43" s="554">
        <f>'8_2.1.21 SIS'!BF43</f>
        <v>8</v>
      </c>
      <c r="D43" s="427">
        <f>'9_Per Pupil Summary'!S42</f>
        <v>9612.3900772200759</v>
      </c>
      <c r="E43" s="427">
        <f t="shared" si="4"/>
        <v>76899</v>
      </c>
      <c r="F43" s="427"/>
      <c r="G43" s="427"/>
      <c r="H43" s="431">
        <f t="shared" si="1"/>
        <v>0</v>
      </c>
      <c r="I43" s="430">
        <f t="shared" si="5"/>
        <v>76899</v>
      </c>
      <c r="J43" s="427">
        <f>'[1]5A5_LSMSA'!$H43</f>
        <v>0</v>
      </c>
      <c r="K43" s="430">
        <f t="shared" si="6"/>
        <v>76899</v>
      </c>
      <c r="L43" s="427"/>
      <c r="M43" s="427">
        <f t="shared" si="7"/>
        <v>76899</v>
      </c>
      <c r="N43" s="430">
        <f t="shared" si="2"/>
        <v>6408</v>
      </c>
      <c r="O43" s="430">
        <f t="shared" si="3"/>
        <v>76899</v>
      </c>
    </row>
    <row r="44" spans="1:15" ht="15.6" customHeight="1" x14ac:dyDescent="0.2">
      <c r="A44" s="424">
        <v>38</v>
      </c>
      <c r="B44" s="425" t="s">
        <v>168</v>
      </c>
      <c r="C44" s="554">
        <f>'8_2.1.21 SIS'!BF44</f>
        <v>1</v>
      </c>
      <c r="D44" s="427">
        <f>'9_Per Pupil Summary'!S43</f>
        <v>9603.6661481870724</v>
      </c>
      <c r="E44" s="427">
        <f t="shared" si="4"/>
        <v>9604</v>
      </c>
      <c r="F44" s="427"/>
      <c r="G44" s="427"/>
      <c r="H44" s="431">
        <f t="shared" si="1"/>
        <v>0</v>
      </c>
      <c r="I44" s="430">
        <f t="shared" si="5"/>
        <v>9604</v>
      </c>
      <c r="J44" s="427">
        <f>'[1]5A5_LSMSA'!$H44</f>
        <v>0</v>
      </c>
      <c r="K44" s="430">
        <f t="shared" si="6"/>
        <v>9604</v>
      </c>
      <c r="L44" s="427"/>
      <c r="M44" s="427">
        <f t="shared" si="7"/>
        <v>9604</v>
      </c>
      <c r="N44" s="430">
        <f t="shared" si="2"/>
        <v>800</v>
      </c>
      <c r="O44" s="430">
        <f t="shared" si="3"/>
        <v>9604</v>
      </c>
    </row>
    <row r="45" spans="1:15" ht="15.6" customHeight="1" x14ac:dyDescent="0.2">
      <c r="A45" s="424">
        <v>39</v>
      </c>
      <c r="B45" s="425" t="s">
        <v>169</v>
      </c>
      <c r="C45" s="554">
        <f>'8_2.1.21 SIS'!BF45</f>
        <v>7</v>
      </c>
      <c r="D45" s="427">
        <f>'9_Per Pupil Summary'!S44</f>
        <v>9816.4488455538212</v>
      </c>
      <c r="E45" s="427">
        <f t="shared" si="4"/>
        <v>68715</v>
      </c>
      <c r="F45" s="427"/>
      <c r="G45" s="427"/>
      <c r="H45" s="431">
        <f t="shared" si="1"/>
        <v>0</v>
      </c>
      <c r="I45" s="430">
        <f t="shared" si="5"/>
        <v>68715</v>
      </c>
      <c r="J45" s="427">
        <f>'[1]5A5_LSMSA'!$H45</f>
        <v>0</v>
      </c>
      <c r="K45" s="430">
        <f t="shared" si="6"/>
        <v>68715</v>
      </c>
      <c r="L45" s="427"/>
      <c r="M45" s="427">
        <f t="shared" si="7"/>
        <v>68715</v>
      </c>
      <c r="N45" s="430">
        <f t="shared" si="2"/>
        <v>5726</v>
      </c>
      <c r="O45" s="430">
        <f t="shared" si="3"/>
        <v>68715</v>
      </c>
    </row>
    <row r="46" spans="1:15" ht="15.6" customHeight="1" x14ac:dyDescent="0.2">
      <c r="A46" s="434">
        <v>40</v>
      </c>
      <c r="B46" s="435" t="s">
        <v>170</v>
      </c>
      <c r="C46" s="485">
        <f>'8_2.1.21 SIS'!BF46</f>
        <v>18</v>
      </c>
      <c r="D46" s="437">
        <f>'9_Per Pupil Summary'!S45</f>
        <v>9567.9124528125139</v>
      </c>
      <c r="E46" s="437">
        <f t="shared" si="4"/>
        <v>172222</v>
      </c>
      <c r="F46" s="437"/>
      <c r="G46" s="437"/>
      <c r="H46" s="441">
        <f t="shared" si="1"/>
        <v>0</v>
      </c>
      <c r="I46" s="440">
        <f t="shared" si="5"/>
        <v>172222</v>
      </c>
      <c r="J46" s="437">
        <f>'[1]5A5_LSMSA'!$H46</f>
        <v>0</v>
      </c>
      <c r="K46" s="440">
        <f t="shared" si="6"/>
        <v>172222</v>
      </c>
      <c r="L46" s="443"/>
      <c r="M46" s="437">
        <f t="shared" si="7"/>
        <v>172222</v>
      </c>
      <c r="N46" s="444">
        <f t="shared" si="2"/>
        <v>14352</v>
      </c>
      <c r="O46" s="440">
        <f t="shared" si="3"/>
        <v>172222</v>
      </c>
    </row>
    <row r="47" spans="1:15" ht="15.6" customHeight="1" x14ac:dyDescent="0.2">
      <c r="A47" s="547">
        <v>41</v>
      </c>
      <c r="B47" s="548" t="s">
        <v>171</v>
      </c>
      <c r="C47" s="549">
        <f>'8_2.1.21 SIS'!BF47</f>
        <v>0</v>
      </c>
      <c r="D47" s="550">
        <f>'9_Per Pupil Summary'!S46</f>
        <v>9636.8193825180424</v>
      </c>
      <c r="E47" s="550">
        <f t="shared" si="4"/>
        <v>0</v>
      </c>
      <c r="F47" s="550"/>
      <c r="G47" s="550"/>
      <c r="H47" s="551">
        <f t="shared" si="1"/>
        <v>0</v>
      </c>
      <c r="I47" s="552">
        <f t="shared" si="5"/>
        <v>0</v>
      </c>
      <c r="J47" s="550">
        <f>'[1]5A5_LSMSA'!$H47</f>
        <v>0</v>
      </c>
      <c r="K47" s="552">
        <f t="shared" si="6"/>
        <v>0</v>
      </c>
      <c r="L47" s="550"/>
      <c r="M47" s="550">
        <f t="shared" si="7"/>
        <v>0</v>
      </c>
      <c r="N47" s="552">
        <f t="shared" si="2"/>
        <v>0</v>
      </c>
      <c r="O47" s="553">
        <f t="shared" si="3"/>
        <v>0</v>
      </c>
    </row>
    <row r="48" spans="1:15" ht="15.6" customHeight="1" x14ac:dyDescent="0.2">
      <c r="A48" s="424">
        <v>42</v>
      </c>
      <c r="B48" s="425" t="s">
        <v>172</v>
      </c>
      <c r="C48" s="554">
        <f>'8_2.1.21 SIS'!BF48</f>
        <v>3</v>
      </c>
      <c r="D48" s="427">
        <f>'9_Per Pupil Summary'!S47</f>
        <v>10077.097050092765</v>
      </c>
      <c r="E48" s="427">
        <f t="shared" si="4"/>
        <v>30231</v>
      </c>
      <c r="F48" s="427"/>
      <c r="G48" s="427"/>
      <c r="H48" s="431">
        <f t="shared" si="1"/>
        <v>0</v>
      </c>
      <c r="I48" s="430">
        <f t="shared" si="5"/>
        <v>30231</v>
      </c>
      <c r="J48" s="427">
        <f>'[1]5A5_LSMSA'!$H48</f>
        <v>0</v>
      </c>
      <c r="K48" s="430">
        <f t="shared" si="6"/>
        <v>30231</v>
      </c>
      <c r="L48" s="427"/>
      <c r="M48" s="427">
        <f t="shared" si="7"/>
        <v>30231</v>
      </c>
      <c r="N48" s="430">
        <f t="shared" si="2"/>
        <v>2519</v>
      </c>
      <c r="O48" s="430">
        <f t="shared" si="3"/>
        <v>30231</v>
      </c>
    </row>
    <row r="49" spans="1:15" ht="15.6" customHeight="1" x14ac:dyDescent="0.2">
      <c r="A49" s="424">
        <v>43</v>
      </c>
      <c r="B49" s="425" t="s">
        <v>173</v>
      </c>
      <c r="C49" s="554">
        <f>'8_2.1.21 SIS'!BF49</f>
        <v>10</v>
      </c>
      <c r="D49" s="427">
        <f>'9_Per Pupil Summary'!S48</f>
        <v>9982.799959370237</v>
      </c>
      <c r="E49" s="427">
        <f t="shared" si="4"/>
        <v>99828</v>
      </c>
      <c r="F49" s="427"/>
      <c r="G49" s="427"/>
      <c r="H49" s="431">
        <f t="shared" si="1"/>
        <v>0</v>
      </c>
      <c r="I49" s="430">
        <f t="shared" si="5"/>
        <v>99828</v>
      </c>
      <c r="J49" s="427">
        <f>'[1]5A5_LSMSA'!$H49</f>
        <v>0</v>
      </c>
      <c r="K49" s="430">
        <f t="shared" si="6"/>
        <v>99828</v>
      </c>
      <c r="L49" s="427"/>
      <c r="M49" s="427">
        <f t="shared" si="7"/>
        <v>99828</v>
      </c>
      <c r="N49" s="430">
        <f t="shared" si="2"/>
        <v>8319</v>
      </c>
      <c r="O49" s="430">
        <f t="shared" si="3"/>
        <v>99828</v>
      </c>
    </row>
    <row r="50" spans="1:15" ht="15.6" customHeight="1" x14ac:dyDescent="0.2">
      <c r="A50" s="424">
        <v>44</v>
      </c>
      <c r="B50" s="425" t="s">
        <v>174</v>
      </c>
      <c r="C50" s="554">
        <f>'8_2.1.21 SIS'!BF50</f>
        <v>3</v>
      </c>
      <c r="D50" s="427">
        <f>'9_Per Pupil Summary'!S49</f>
        <v>9382.1066126695641</v>
      </c>
      <c r="E50" s="427">
        <f t="shared" si="4"/>
        <v>28146</v>
      </c>
      <c r="F50" s="427"/>
      <c r="G50" s="427"/>
      <c r="H50" s="431">
        <f t="shared" si="1"/>
        <v>0</v>
      </c>
      <c r="I50" s="430">
        <f t="shared" si="5"/>
        <v>28146</v>
      </c>
      <c r="J50" s="427">
        <f>'[1]5A5_LSMSA'!$H50</f>
        <v>0</v>
      </c>
      <c r="K50" s="430">
        <f t="shared" si="6"/>
        <v>28146</v>
      </c>
      <c r="L50" s="427"/>
      <c r="M50" s="427">
        <f t="shared" si="7"/>
        <v>28146</v>
      </c>
      <c r="N50" s="430">
        <f t="shared" si="2"/>
        <v>2346</v>
      </c>
      <c r="O50" s="430">
        <f t="shared" si="3"/>
        <v>28146</v>
      </c>
    </row>
    <row r="51" spans="1:15" ht="15.6" customHeight="1" x14ac:dyDescent="0.2">
      <c r="A51" s="434">
        <v>45</v>
      </c>
      <c r="B51" s="435" t="s">
        <v>175</v>
      </c>
      <c r="C51" s="485">
        <f>'8_2.1.21 SIS'!BF51</f>
        <v>4</v>
      </c>
      <c r="D51" s="437">
        <f>'9_Per Pupil Summary'!S50</f>
        <v>8593.4930751952088</v>
      </c>
      <c r="E51" s="437">
        <f t="shared" si="4"/>
        <v>34374</v>
      </c>
      <c r="F51" s="437"/>
      <c r="G51" s="437"/>
      <c r="H51" s="441">
        <f t="shared" si="1"/>
        <v>0</v>
      </c>
      <c r="I51" s="440">
        <f t="shared" si="5"/>
        <v>34374</v>
      </c>
      <c r="J51" s="437">
        <f>'[1]5A5_LSMSA'!$H51</f>
        <v>0</v>
      </c>
      <c r="K51" s="440">
        <f t="shared" si="6"/>
        <v>34374</v>
      </c>
      <c r="L51" s="443"/>
      <c r="M51" s="437">
        <f t="shared" si="7"/>
        <v>34374</v>
      </c>
      <c r="N51" s="444">
        <f t="shared" si="2"/>
        <v>2865</v>
      </c>
      <c r="O51" s="440">
        <f t="shared" si="3"/>
        <v>34374</v>
      </c>
    </row>
    <row r="52" spans="1:15" ht="15.6" customHeight="1" x14ac:dyDescent="0.2">
      <c r="A52" s="547">
        <v>46</v>
      </c>
      <c r="B52" s="548" t="s">
        <v>176</v>
      </c>
      <c r="C52" s="549">
        <f>'8_2.1.21 SIS'!BF52</f>
        <v>1</v>
      </c>
      <c r="D52" s="550">
        <f>'9_Per Pupil Summary'!S51</f>
        <v>11510.272294520548</v>
      </c>
      <c r="E52" s="550">
        <f t="shared" si="4"/>
        <v>11510</v>
      </c>
      <c r="F52" s="550"/>
      <c r="G52" s="550"/>
      <c r="H52" s="551">
        <f t="shared" si="1"/>
        <v>0</v>
      </c>
      <c r="I52" s="552">
        <f t="shared" si="5"/>
        <v>11510</v>
      </c>
      <c r="J52" s="550">
        <f>'[1]5A5_LSMSA'!$H52</f>
        <v>0</v>
      </c>
      <c r="K52" s="552">
        <f t="shared" si="6"/>
        <v>11510</v>
      </c>
      <c r="L52" s="550"/>
      <c r="M52" s="550">
        <f t="shared" si="7"/>
        <v>11510</v>
      </c>
      <c r="N52" s="552">
        <f t="shared" si="2"/>
        <v>959</v>
      </c>
      <c r="O52" s="553">
        <f t="shared" si="3"/>
        <v>11510</v>
      </c>
    </row>
    <row r="53" spans="1:15" ht="15.6" customHeight="1" x14ac:dyDescent="0.2">
      <c r="A53" s="424">
        <v>47</v>
      </c>
      <c r="B53" s="425" t="s">
        <v>177</v>
      </c>
      <c r="C53" s="554">
        <f>'8_2.1.21 SIS'!BF53</f>
        <v>1</v>
      </c>
      <c r="D53" s="427">
        <f>'9_Per Pupil Summary'!S52</f>
        <v>9604.7579024099978</v>
      </c>
      <c r="E53" s="427">
        <f t="shared" si="4"/>
        <v>9605</v>
      </c>
      <c r="F53" s="427"/>
      <c r="G53" s="427"/>
      <c r="H53" s="431">
        <f t="shared" si="1"/>
        <v>0</v>
      </c>
      <c r="I53" s="430">
        <f t="shared" si="5"/>
        <v>9605</v>
      </c>
      <c r="J53" s="427">
        <f>'[1]5A5_LSMSA'!$H53</f>
        <v>0</v>
      </c>
      <c r="K53" s="430">
        <f t="shared" si="6"/>
        <v>9605</v>
      </c>
      <c r="L53" s="427"/>
      <c r="M53" s="427">
        <f t="shared" si="7"/>
        <v>9605</v>
      </c>
      <c r="N53" s="430">
        <f t="shared" si="2"/>
        <v>800</v>
      </c>
      <c r="O53" s="430">
        <f t="shared" si="3"/>
        <v>9605</v>
      </c>
    </row>
    <row r="54" spans="1:15" ht="15.6" customHeight="1" x14ac:dyDescent="0.2">
      <c r="A54" s="424">
        <v>48</v>
      </c>
      <c r="B54" s="425" t="s">
        <v>178</v>
      </c>
      <c r="C54" s="554">
        <f>'8_2.1.21 SIS'!BF54</f>
        <v>2</v>
      </c>
      <c r="D54" s="427">
        <f>'9_Per Pupil Summary'!S53</f>
        <v>9603.1613821138199</v>
      </c>
      <c r="E54" s="427">
        <f t="shared" si="4"/>
        <v>19206</v>
      </c>
      <c r="F54" s="427"/>
      <c r="G54" s="427"/>
      <c r="H54" s="431">
        <f t="shared" si="1"/>
        <v>0</v>
      </c>
      <c r="I54" s="430">
        <f t="shared" si="5"/>
        <v>19206</v>
      </c>
      <c r="J54" s="427">
        <f>'[1]5A5_LSMSA'!$H54</f>
        <v>0</v>
      </c>
      <c r="K54" s="430">
        <f t="shared" si="6"/>
        <v>19206</v>
      </c>
      <c r="L54" s="427"/>
      <c r="M54" s="427">
        <f t="shared" si="7"/>
        <v>19206</v>
      </c>
      <c r="N54" s="430">
        <f t="shared" si="2"/>
        <v>1601</v>
      </c>
      <c r="O54" s="430">
        <f t="shared" si="3"/>
        <v>19206</v>
      </c>
    </row>
    <row r="55" spans="1:15" ht="15.6" customHeight="1" x14ac:dyDescent="0.2">
      <c r="A55" s="424">
        <v>49</v>
      </c>
      <c r="B55" s="425" t="s">
        <v>179</v>
      </c>
      <c r="C55" s="554">
        <f>'8_2.1.21 SIS'!BF55</f>
        <v>8</v>
      </c>
      <c r="D55" s="427">
        <f>'9_Per Pupil Summary'!S54</f>
        <v>9046.1366287730307</v>
      </c>
      <c r="E55" s="427">
        <f t="shared" si="4"/>
        <v>72369</v>
      </c>
      <c r="F55" s="427"/>
      <c r="G55" s="427"/>
      <c r="H55" s="431">
        <f t="shared" si="1"/>
        <v>0</v>
      </c>
      <c r="I55" s="430">
        <f t="shared" si="5"/>
        <v>72369</v>
      </c>
      <c r="J55" s="427">
        <f>'[1]5A5_LSMSA'!$H55</f>
        <v>0</v>
      </c>
      <c r="K55" s="430">
        <f t="shared" si="6"/>
        <v>72369</v>
      </c>
      <c r="L55" s="427"/>
      <c r="M55" s="427">
        <f t="shared" si="7"/>
        <v>72369</v>
      </c>
      <c r="N55" s="430">
        <f t="shared" si="2"/>
        <v>6031</v>
      </c>
      <c r="O55" s="430">
        <f t="shared" si="3"/>
        <v>72369</v>
      </c>
    </row>
    <row r="56" spans="1:15" ht="15.6" customHeight="1" x14ac:dyDescent="0.2">
      <c r="A56" s="434">
        <v>50</v>
      </c>
      <c r="B56" s="435" t="s">
        <v>180</v>
      </c>
      <c r="C56" s="485">
        <f>'8_2.1.21 SIS'!BF56</f>
        <v>4</v>
      </c>
      <c r="D56" s="437">
        <f>'9_Per Pupil Summary'!S55</f>
        <v>9332.1664789502465</v>
      </c>
      <c r="E56" s="437">
        <f t="shared" si="4"/>
        <v>37329</v>
      </c>
      <c r="F56" s="437"/>
      <c r="G56" s="437"/>
      <c r="H56" s="441">
        <f t="shared" si="1"/>
        <v>0</v>
      </c>
      <c r="I56" s="440">
        <f t="shared" si="5"/>
        <v>37329</v>
      </c>
      <c r="J56" s="437">
        <f>'[1]5A5_LSMSA'!$H56</f>
        <v>0</v>
      </c>
      <c r="K56" s="440">
        <f t="shared" si="6"/>
        <v>37329</v>
      </c>
      <c r="L56" s="443"/>
      <c r="M56" s="437">
        <f t="shared" si="7"/>
        <v>37329</v>
      </c>
      <c r="N56" s="444">
        <f t="shared" si="2"/>
        <v>3111</v>
      </c>
      <c r="O56" s="440">
        <f t="shared" si="3"/>
        <v>37329</v>
      </c>
    </row>
    <row r="57" spans="1:15" ht="15.6" customHeight="1" x14ac:dyDescent="0.2">
      <c r="A57" s="547">
        <v>51</v>
      </c>
      <c r="B57" s="548" t="s">
        <v>181</v>
      </c>
      <c r="C57" s="549">
        <f>'8_2.1.21 SIS'!BF57</f>
        <v>3</v>
      </c>
      <c r="D57" s="550">
        <f>'9_Per Pupil Summary'!S56</f>
        <v>9918.815681054537</v>
      </c>
      <c r="E57" s="550">
        <f t="shared" si="4"/>
        <v>29756</v>
      </c>
      <c r="F57" s="550"/>
      <c r="G57" s="550"/>
      <c r="H57" s="551">
        <f t="shared" si="1"/>
        <v>0</v>
      </c>
      <c r="I57" s="552">
        <f t="shared" si="5"/>
        <v>29756</v>
      </c>
      <c r="J57" s="550">
        <f>'[1]5A5_LSMSA'!$H57</f>
        <v>0</v>
      </c>
      <c r="K57" s="552">
        <f t="shared" si="6"/>
        <v>29756</v>
      </c>
      <c r="L57" s="550"/>
      <c r="M57" s="550">
        <f t="shared" si="7"/>
        <v>29756</v>
      </c>
      <c r="N57" s="552">
        <f t="shared" si="2"/>
        <v>2480</v>
      </c>
      <c r="O57" s="553">
        <f t="shared" si="3"/>
        <v>29756</v>
      </c>
    </row>
    <row r="58" spans="1:15" ht="15.6" customHeight="1" x14ac:dyDescent="0.2">
      <c r="A58" s="424">
        <v>52</v>
      </c>
      <c r="B58" s="425" t="s">
        <v>182</v>
      </c>
      <c r="C58" s="554">
        <f>'8_2.1.21 SIS'!BF58</f>
        <v>31</v>
      </c>
      <c r="D58" s="427">
        <f>'9_Per Pupil Summary'!S57</f>
        <v>9625.3325549413494</v>
      </c>
      <c r="E58" s="427">
        <f t="shared" si="4"/>
        <v>298385</v>
      </c>
      <c r="F58" s="427"/>
      <c r="G58" s="427"/>
      <c r="H58" s="431">
        <f t="shared" si="1"/>
        <v>0</v>
      </c>
      <c r="I58" s="430">
        <f t="shared" si="5"/>
        <v>298385</v>
      </c>
      <c r="J58" s="427">
        <f>'[1]5A5_LSMSA'!$H58</f>
        <v>0</v>
      </c>
      <c r="K58" s="430">
        <f t="shared" si="6"/>
        <v>298385</v>
      </c>
      <c r="L58" s="427"/>
      <c r="M58" s="427">
        <f t="shared" si="7"/>
        <v>298385</v>
      </c>
      <c r="N58" s="430">
        <f t="shared" si="2"/>
        <v>24865</v>
      </c>
      <c r="O58" s="430">
        <f t="shared" si="3"/>
        <v>298385</v>
      </c>
    </row>
    <row r="59" spans="1:15" ht="15.6" customHeight="1" x14ac:dyDescent="0.2">
      <c r="A59" s="424">
        <v>53</v>
      </c>
      <c r="B59" s="425" t="s">
        <v>183</v>
      </c>
      <c r="C59" s="554">
        <f>'8_2.1.21 SIS'!BF59</f>
        <v>13</v>
      </c>
      <c r="D59" s="427">
        <f>'9_Per Pupil Summary'!S58</f>
        <v>9061.4109807208715</v>
      </c>
      <c r="E59" s="427">
        <f t="shared" si="4"/>
        <v>117798</v>
      </c>
      <c r="F59" s="427"/>
      <c r="G59" s="427"/>
      <c r="H59" s="431">
        <f t="shared" si="1"/>
        <v>0</v>
      </c>
      <c r="I59" s="430">
        <f t="shared" si="5"/>
        <v>117798</v>
      </c>
      <c r="J59" s="427">
        <f>'[1]5A5_LSMSA'!$H59</f>
        <v>0</v>
      </c>
      <c r="K59" s="430">
        <f t="shared" si="6"/>
        <v>117798</v>
      </c>
      <c r="L59" s="427"/>
      <c r="M59" s="427">
        <f t="shared" si="7"/>
        <v>117798</v>
      </c>
      <c r="N59" s="430">
        <f t="shared" si="2"/>
        <v>9817</v>
      </c>
      <c r="O59" s="430">
        <f t="shared" si="3"/>
        <v>117798</v>
      </c>
    </row>
    <row r="60" spans="1:15" ht="15.6" customHeight="1" x14ac:dyDescent="0.2">
      <c r="A60" s="424">
        <v>54</v>
      </c>
      <c r="B60" s="425" t="s">
        <v>184</v>
      </c>
      <c r="C60" s="554">
        <f>'8_2.1.21 SIS'!BF60</f>
        <v>0</v>
      </c>
      <c r="D60" s="427">
        <f>'9_Per Pupil Summary'!S59</f>
        <v>11158.272928039703</v>
      </c>
      <c r="E60" s="427">
        <f t="shared" si="4"/>
        <v>0</v>
      </c>
      <c r="F60" s="427"/>
      <c r="G60" s="427"/>
      <c r="H60" s="431">
        <f t="shared" si="1"/>
        <v>0</v>
      </c>
      <c r="I60" s="430">
        <f t="shared" si="5"/>
        <v>0</v>
      </c>
      <c r="J60" s="427">
        <f>'[1]5A5_LSMSA'!$H60</f>
        <v>0</v>
      </c>
      <c r="K60" s="430">
        <f t="shared" si="6"/>
        <v>0</v>
      </c>
      <c r="L60" s="427"/>
      <c r="M60" s="427">
        <f t="shared" si="7"/>
        <v>0</v>
      </c>
      <c r="N60" s="430">
        <f t="shared" si="2"/>
        <v>0</v>
      </c>
      <c r="O60" s="430">
        <f t="shared" si="3"/>
        <v>0</v>
      </c>
    </row>
    <row r="61" spans="1:15" ht="15.6" customHeight="1" x14ac:dyDescent="0.2">
      <c r="A61" s="434">
        <v>55</v>
      </c>
      <c r="B61" s="435" t="s">
        <v>185</v>
      </c>
      <c r="C61" s="485">
        <f>'8_2.1.21 SIS'!BF61</f>
        <v>13</v>
      </c>
      <c r="D61" s="437">
        <f>'9_Per Pupil Summary'!S60</f>
        <v>9299.6940490572961</v>
      </c>
      <c r="E61" s="437">
        <f t="shared" si="4"/>
        <v>120896</v>
      </c>
      <c r="F61" s="437"/>
      <c r="G61" s="437"/>
      <c r="H61" s="441">
        <f t="shared" si="1"/>
        <v>0</v>
      </c>
      <c r="I61" s="440">
        <f t="shared" si="5"/>
        <v>120896</v>
      </c>
      <c r="J61" s="437">
        <f>'[1]5A5_LSMSA'!$H61</f>
        <v>0</v>
      </c>
      <c r="K61" s="440">
        <f t="shared" si="6"/>
        <v>120896</v>
      </c>
      <c r="L61" s="443"/>
      <c r="M61" s="437">
        <f t="shared" si="7"/>
        <v>120896</v>
      </c>
      <c r="N61" s="444">
        <f t="shared" si="2"/>
        <v>10075</v>
      </c>
      <c r="O61" s="440">
        <f t="shared" si="3"/>
        <v>120896</v>
      </c>
    </row>
    <row r="62" spans="1:15" ht="15.6" customHeight="1" x14ac:dyDescent="0.2">
      <c r="A62" s="547">
        <v>56</v>
      </c>
      <c r="B62" s="548" t="s">
        <v>186</v>
      </c>
      <c r="C62" s="549">
        <f>'8_2.1.21 SIS'!BF62</f>
        <v>0</v>
      </c>
      <c r="D62" s="550">
        <f>'9_Per Pupil Summary'!S61</f>
        <v>10237.73950786056</v>
      </c>
      <c r="E62" s="550">
        <f t="shared" si="4"/>
        <v>0</v>
      </c>
      <c r="F62" s="550"/>
      <c r="G62" s="550"/>
      <c r="H62" s="551">
        <f t="shared" si="1"/>
        <v>0</v>
      </c>
      <c r="I62" s="552">
        <f t="shared" si="5"/>
        <v>0</v>
      </c>
      <c r="J62" s="550">
        <f>'[1]5A5_LSMSA'!$H62</f>
        <v>0</v>
      </c>
      <c r="K62" s="552">
        <f t="shared" si="6"/>
        <v>0</v>
      </c>
      <c r="L62" s="550"/>
      <c r="M62" s="550">
        <f t="shared" si="7"/>
        <v>0</v>
      </c>
      <c r="N62" s="552">
        <f t="shared" si="2"/>
        <v>0</v>
      </c>
      <c r="O62" s="553">
        <f t="shared" si="3"/>
        <v>0</v>
      </c>
    </row>
    <row r="63" spans="1:15" ht="15.6" customHeight="1" x14ac:dyDescent="0.2">
      <c r="A63" s="424">
        <v>57</v>
      </c>
      <c r="B63" s="425" t="s">
        <v>187</v>
      </c>
      <c r="C63" s="554">
        <f>'8_2.1.21 SIS'!BF63</f>
        <v>2</v>
      </c>
      <c r="D63" s="427">
        <f>'9_Per Pupil Summary'!S62</f>
        <v>8864.8970059235326</v>
      </c>
      <c r="E63" s="427">
        <f t="shared" si="4"/>
        <v>17730</v>
      </c>
      <c r="F63" s="427"/>
      <c r="G63" s="427"/>
      <c r="H63" s="431">
        <f t="shared" si="1"/>
        <v>0</v>
      </c>
      <c r="I63" s="430">
        <f t="shared" si="5"/>
        <v>17730</v>
      </c>
      <c r="J63" s="427">
        <f>'[1]5A5_LSMSA'!$H63</f>
        <v>0</v>
      </c>
      <c r="K63" s="430">
        <f t="shared" si="6"/>
        <v>17730</v>
      </c>
      <c r="L63" s="427"/>
      <c r="M63" s="427">
        <f t="shared" si="7"/>
        <v>17730</v>
      </c>
      <c r="N63" s="430">
        <f t="shared" si="2"/>
        <v>1478</v>
      </c>
      <c r="O63" s="430">
        <f t="shared" si="3"/>
        <v>17730</v>
      </c>
    </row>
    <row r="64" spans="1:15" ht="15.6" customHeight="1" x14ac:dyDescent="0.2">
      <c r="A64" s="424">
        <v>58</v>
      </c>
      <c r="B64" s="425" t="s">
        <v>188</v>
      </c>
      <c r="C64" s="554">
        <f>'8_2.1.21 SIS'!BF64</f>
        <v>6</v>
      </c>
      <c r="D64" s="427">
        <f>'9_Per Pupil Summary'!S63</f>
        <v>9714.6091062394607</v>
      </c>
      <c r="E64" s="427">
        <f t="shared" si="4"/>
        <v>58288</v>
      </c>
      <c r="F64" s="427"/>
      <c r="G64" s="427"/>
      <c r="H64" s="431">
        <f t="shared" si="1"/>
        <v>0</v>
      </c>
      <c r="I64" s="430">
        <f t="shared" si="5"/>
        <v>58288</v>
      </c>
      <c r="J64" s="427">
        <f>'[1]5A5_LSMSA'!$H64</f>
        <v>0</v>
      </c>
      <c r="K64" s="430">
        <f t="shared" si="6"/>
        <v>58288</v>
      </c>
      <c r="L64" s="427"/>
      <c r="M64" s="427">
        <f t="shared" si="7"/>
        <v>58288</v>
      </c>
      <c r="N64" s="430">
        <f t="shared" si="2"/>
        <v>4857</v>
      </c>
      <c r="O64" s="430">
        <f t="shared" si="3"/>
        <v>58288</v>
      </c>
    </row>
    <row r="65" spans="1:15" ht="15.6" customHeight="1" x14ac:dyDescent="0.2">
      <c r="A65" s="424">
        <v>59</v>
      </c>
      <c r="B65" s="425" t="s">
        <v>189</v>
      </c>
      <c r="C65" s="554">
        <f>'8_2.1.21 SIS'!BF65</f>
        <v>0</v>
      </c>
      <c r="D65" s="427">
        <f>'9_Per Pupil Summary'!S64</f>
        <v>9213.5109958506218</v>
      </c>
      <c r="E65" s="427">
        <f t="shared" si="4"/>
        <v>0</v>
      </c>
      <c r="F65" s="427"/>
      <c r="G65" s="427"/>
      <c r="H65" s="431">
        <f t="shared" si="1"/>
        <v>0</v>
      </c>
      <c r="I65" s="430">
        <f t="shared" si="5"/>
        <v>0</v>
      </c>
      <c r="J65" s="427">
        <f>'[1]5A5_LSMSA'!$H65</f>
        <v>0</v>
      </c>
      <c r="K65" s="430">
        <f t="shared" si="6"/>
        <v>0</v>
      </c>
      <c r="L65" s="427"/>
      <c r="M65" s="427">
        <f t="shared" si="7"/>
        <v>0</v>
      </c>
      <c r="N65" s="430">
        <f t="shared" si="2"/>
        <v>0</v>
      </c>
      <c r="O65" s="430">
        <f t="shared" si="3"/>
        <v>0</v>
      </c>
    </row>
    <row r="66" spans="1:15" ht="15.6" customHeight="1" x14ac:dyDescent="0.2">
      <c r="A66" s="434">
        <v>60</v>
      </c>
      <c r="B66" s="435" t="s">
        <v>190</v>
      </c>
      <c r="C66" s="485">
        <f>'8_2.1.21 SIS'!BF66</f>
        <v>1</v>
      </c>
      <c r="D66" s="437">
        <f>'9_Per Pupil Summary'!S65</f>
        <v>10013.000138563973</v>
      </c>
      <c r="E66" s="437">
        <f t="shared" si="4"/>
        <v>10013</v>
      </c>
      <c r="F66" s="437"/>
      <c r="G66" s="437"/>
      <c r="H66" s="441">
        <f t="shared" si="1"/>
        <v>0</v>
      </c>
      <c r="I66" s="440">
        <f t="shared" si="5"/>
        <v>10013</v>
      </c>
      <c r="J66" s="437">
        <f>'[1]5A5_LSMSA'!$H66</f>
        <v>0</v>
      </c>
      <c r="K66" s="440">
        <f t="shared" si="6"/>
        <v>10013</v>
      </c>
      <c r="L66" s="443"/>
      <c r="M66" s="437">
        <f t="shared" si="7"/>
        <v>10013</v>
      </c>
      <c r="N66" s="444">
        <f t="shared" si="2"/>
        <v>834</v>
      </c>
      <c r="O66" s="440">
        <f t="shared" si="3"/>
        <v>10013</v>
      </c>
    </row>
    <row r="67" spans="1:15" ht="15.6" customHeight="1" x14ac:dyDescent="0.2">
      <c r="A67" s="547">
        <v>61</v>
      </c>
      <c r="B67" s="548" t="s">
        <v>191</v>
      </c>
      <c r="C67" s="549">
        <f>'8_2.1.21 SIS'!BF67</f>
        <v>2</v>
      </c>
      <c r="D67" s="550">
        <f>'9_Per Pupil Summary'!S66</f>
        <v>9239.1309051169974</v>
      </c>
      <c r="E67" s="550">
        <f t="shared" si="4"/>
        <v>18478</v>
      </c>
      <c r="F67" s="550"/>
      <c r="G67" s="550"/>
      <c r="H67" s="551">
        <f t="shared" si="1"/>
        <v>0</v>
      </c>
      <c r="I67" s="552">
        <f t="shared" si="5"/>
        <v>18478</v>
      </c>
      <c r="J67" s="550">
        <f>'[1]5A5_LSMSA'!$H67</f>
        <v>0</v>
      </c>
      <c r="K67" s="552">
        <f t="shared" si="6"/>
        <v>18478</v>
      </c>
      <c r="L67" s="550"/>
      <c r="M67" s="550">
        <f t="shared" si="7"/>
        <v>18478</v>
      </c>
      <c r="N67" s="552">
        <f t="shared" si="2"/>
        <v>1540</v>
      </c>
      <c r="O67" s="553">
        <f t="shared" si="3"/>
        <v>18478</v>
      </c>
    </row>
    <row r="68" spans="1:15" ht="15.6" customHeight="1" x14ac:dyDescent="0.2">
      <c r="A68" s="424">
        <v>62</v>
      </c>
      <c r="B68" s="425" t="s">
        <v>192</v>
      </c>
      <c r="C68" s="554">
        <f>'8_2.1.21 SIS'!BF68</f>
        <v>1</v>
      </c>
      <c r="D68" s="427">
        <f>'9_Per Pupil Summary'!S67</f>
        <v>9522.1415732172027</v>
      </c>
      <c r="E68" s="427">
        <f t="shared" si="4"/>
        <v>9522</v>
      </c>
      <c r="F68" s="427"/>
      <c r="G68" s="427"/>
      <c r="H68" s="431">
        <f t="shared" si="1"/>
        <v>0</v>
      </c>
      <c r="I68" s="430">
        <f t="shared" si="5"/>
        <v>9522</v>
      </c>
      <c r="J68" s="427">
        <f>'[1]5A5_LSMSA'!$H68</f>
        <v>0</v>
      </c>
      <c r="K68" s="430">
        <f t="shared" si="6"/>
        <v>9522</v>
      </c>
      <c r="L68" s="427"/>
      <c r="M68" s="427">
        <f t="shared" si="7"/>
        <v>9522</v>
      </c>
      <c r="N68" s="430">
        <f t="shared" si="2"/>
        <v>794</v>
      </c>
      <c r="O68" s="430">
        <f t="shared" si="3"/>
        <v>9522</v>
      </c>
    </row>
    <row r="69" spans="1:15" ht="15.6" customHeight="1" x14ac:dyDescent="0.2">
      <c r="A69" s="424">
        <v>63</v>
      </c>
      <c r="B69" s="425" t="s">
        <v>193</v>
      </c>
      <c r="C69" s="554">
        <f>'8_2.1.21 SIS'!BF69</f>
        <v>2</v>
      </c>
      <c r="D69" s="427">
        <f>'9_Per Pupil Summary'!S68</f>
        <v>9611.0750942484283</v>
      </c>
      <c r="E69" s="427">
        <f t="shared" si="4"/>
        <v>19222</v>
      </c>
      <c r="F69" s="427"/>
      <c r="G69" s="427"/>
      <c r="H69" s="431">
        <f t="shared" si="1"/>
        <v>0</v>
      </c>
      <c r="I69" s="430">
        <f t="shared" si="5"/>
        <v>19222</v>
      </c>
      <c r="J69" s="427">
        <f>'[1]5A5_LSMSA'!$H69</f>
        <v>0</v>
      </c>
      <c r="K69" s="430">
        <f t="shared" si="6"/>
        <v>19222</v>
      </c>
      <c r="L69" s="427"/>
      <c r="M69" s="427">
        <f t="shared" si="7"/>
        <v>19222</v>
      </c>
      <c r="N69" s="430">
        <f t="shared" si="2"/>
        <v>1602</v>
      </c>
      <c r="O69" s="430">
        <f t="shared" si="3"/>
        <v>19222</v>
      </c>
    </row>
    <row r="70" spans="1:15" ht="15.6" customHeight="1" x14ac:dyDescent="0.2">
      <c r="A70" s="424">
        <v>64</v>
      </c>
      <c r="B70" s="425" t="s">
        <v>194</v>
      </c>
      <c r="C70" s="554">
        <f>'8_2.1.21 SIS'!BF70</f>
        <v>0</v>
      </c>
      <c r="D70" s="427">
        <f>'9_Per Pupil Summary'!S69</f>
        <v>10656.775300950369</v>
      </c>
      <c r="E70" s="427">
        <f t="shared" si="4"/>
        <v>0</v>
      </c>
      <c r="F70" s="427"/>
      <c r="G70" s="427"/>
      <c r="H70" s="431">
        <f t="shared" si="1"/>
        <v>0</v>
      </c>
      <c r="I70" s="430">
        <f t="shared" si="5"/>
        <v>0</v>
      </c>
      <c r="J70" s="427">
        <f>'[1]5A5_LSMSA'!$H70</f>
        <v>0</v>
      </c>
      <c r="K70" s="430">
        <f t="shared" si="6"/>
        <v>0</v>
      </c>
      <c r="L70" s="427"/>
      <c r="M70" s="427">
        <f t="shared" si="7"/>
        <v>0</v>
      </c>
      <c r="N70" s="430">
        <f t="shared" si="2"/>
        <v>0</v>
      </c>
      <c r="O70" s="430">
        <f t="shared" si="3"/>
        <v>0</v>
      </c>
    </row>
    <row r="71" spans="1:15" ht="15.6" customHeight="1" x14ac:dyDescent="0.2">
      <c r="A71" s="434">
        <v>65</v>
      </c>
      <c r="B71" s="435" t="s">
        <v>195</v>
      </c>
      <c r="C71" s="485">
        <f>'8_2.1.21 SIS'!BF71</f>
        <v>2</v>
      </c>
      <c r="D71" s="437">
        <f>'9_Per Pupil Summary'!S70</f>
        <v>10032.619230474244</v>
      </c>
      <c r="E71" s="437">
        <f t="shared" si="4"/>
        <v>20065</v>
      </c>
      <c r="F71" s="437"/>
      <c r="G71" s="437"/>
      <c r="H71" s="441">
        <f>F71+G71</f>
        <v>0</v>
      </c>
      <c r="I71" s="440">
        <f t="shared" si="5"/>
        <v>20065</v>
      </c>
      <c r="J71" s="437">
        <f>'[1]5A5_LSMSA'!$H71</f>
        <v>0</v>
      </c>
      <c r="K71" s="440">
        <f t="shared" si="6"/>
        <v>20065</v>
      </c>
      <c r="L71" s="443"/>
      <c r="M71" s="437">
        <f t="shared" si="7"/>
        <v>20065</v>
      </c>
      <c r="N71" s="444">
        <f t="shared" ref="N71:N75" si="8">ROUND(M71/$N$87,0)</f>
        <v>1672</v>
      </c>
      <c r="O71" s="440">
        <f t="shared" ref="O71:O75" si="9">K71</f>
        <v>20065</v>
      </c>
    </row>
    <row r="72" spans="1:15" ht="15.6" customHeight="1" x14ac:dyDescent="0.2">
      <c r="A72" s="424">
        <v>66</v>
      </c>
      <c r="B72" s="425" t="s">
        <v>196</v>
      </c>
      <c r="C72" s="555">
        <f>'8_2.1.21 SIS'!BF72</f>
        <v>0</v>
      </c>
      <c r="D72" s="556">
        <f>'9_Per Pupil Summary'!S71</f>
        <v>11498.85928950159</v>
      </c>
      <c r="E72" s="556">
        <f t="shared" ref="E72:E75" si="10">ROUND(C72*D72,0)</f>
        <v>0</v>
      </c>
      <c r="F72" s="556"/>
      <c r="G72" s="556"/>
      <c r="H72" s="557">
        <f>F72+G72</f>
        <v>0</v>
      </c>
      <c r="I72" s="558">
        <f t="shared" ref="I72:I75" si="11">E72+H72</f>
        <v>0</v>
      </c>
      <c r="J72" s="556">
        <f>'[1]5A5_LSMSA'!$H72</f>
        <v>0</v>
      </c>
      <c r="K72" s="558">
        <f>ROUND(SUM(I72:J72),0)</f>
        <v>0</v>
      </c>
      <c r="L72" s="427"/>
      <c r="M72" s="556">
        <f>K72-L72</f>
        <v>0</v>
      </c>
      <c r="N72" s="430">
        <f t="shared" si="8"/>
        <v>0</v>
      </c>
      <c r="O72" s="558">
        <f t="shared" si="9"/>
        <v>0</v>
      </c>
    </row>
    <row r="73" spans="1:15" ht="15.6" customHeight="1" x14ac:dyDescent="0.2">
      <c r="A73" s="424">
        <v>67</v>
      </c>
      <c r="B73" s="425" t="s">
        <v>197</v>
      </c>
      <c r="C73" s="555">
        <f>'8_2.1.21 SIS'!BF73</f>
        <v>1</v>
      </c>
      <c r="D73" s="556">
        <f>'9_Per Pupil Summary'!S72</f>
        <v>9460.3382591696136</v>
      </c>
      <c r="E73" s="556">
        <f t="shared" si="10"/>
        <v>9460</v>
      </c>
      <c r="F73" s="556"/>
      <c r="G73" s="556"/>
      <c r="H73" s="557">
        <f>F73+G73</f>
        <v>0</v>
      </c>
      <c r="I73" s="558">
        <f t="shared" si="11"/>
        <v>9460</v>
      </c>
      <c r="J73" s="556">
        <f>'[1]5A5_LSMSA'!$H73</f>
        <v>0</v>
      </c>
      <c r="K73" s="558">
        <f>ROUND(SUM(I73:J73),0)</f>
        <v>9460</v>
      </c>
      <c r="L73" s="427"/>
      <c r="M73" s="556">
        <f>K73-L73</f>
        <v>9460</v>
      </c>
      <c r="N73" s="430">
        <f t="shared" si="8"/>
        <v>788</v>
      </c>
      <c r="O73" s="558">
        <f t="shared" si="9"/>
        <v>9460</v>
      </c>
    </row>
    <row r="74" spans="1:15" ht="15.6" customHeight="1" x14ac:dyDescent="0.2">
      <c r="A74" s="424">
        <v>68</v>
      </c>
      <c r="B74" s="425" t="s">
        <v>198</v>
      </c>
      <c r="C74" s="555">
        <f>'8_2.1.21 SIS'!BF74</f>
        <v>0</v>
      </c>
      <c r="D74" s="556">
        <f>'9_Per Pupil Summary'!S73</f>
        <v>10683.750168502916</v>
      </c>
      <c r="E74" s="556">
        <f t="shared" si="10"/>
        <v>0</v>
      </c>
      <c r="F74" s="556"/>
      <c r="G74" s="556"/>
      <c r="H74" s="557">
        <f>F74+G74</f>
        <v>0</v>
      </c>
      <c r="I74" s="558">
        <f t="shared" si="11"/>
        <v>0</v>
      </c>
      <c r="J74" s="556">
        <f>'[1]5A5_LSMSA'!$H74</f>
        <v>0</v>
      </c>
      <c r="K74" s="558">
        <f>ROUND(SUM(I74:J74),0)</f>
        <v>0</v>
      </c>
      <c r="L74" s="427"/>
      <c r="M74" s="556">
        <f>K74-L74</f>
        <v>0</v>
      </c>
      <c r="N74" s="430">
        <f t="shared" si="8"/>
        <v>0</v>
      </c>
      <c r="O74" s="558">
        <f t="shared" si="9"/>
        <v>0</v>
      </c>
    </row>
    <row r="75" spans="1:15" ht="15.6" customHeight="1" x14ac:dyDescent="0.2">
      <c r="A75" s="559">
        <v>69</v>
      </c>
      <c r="B75" s="560" t="s">
        <v>199</v>
      </c>
      <c r="C75" s="561">
        <f>'8_2.1.21 SIS'!BF75</f>
        <v>3</v>
      </c>
      <c r="D75" s="562">
        <f>'9_Per Pupil Summary'!S74</f>
        <v>9769.6102941176468</v>
      </c>
      <c r="E75" s="562">
        <f t="shared" si="10"/>
        <v>29309</v>
      </c>
      <c r="F75" s="562"/>
      <c r="G75" s="562"/>
      <c r="H75" s="563">
        <f>F75+G75</f>
        <v>0</v>
      </c>
      <c r="I75" s="564">
        <f t="shared" si="11"/>
        <v>29309</v>
      </c>
      <c r="J75" s="562">
        <f>'[1]5A5_LSMSA'!$H75</f>
        <v>0</v>
      </c>
      <c r="K75" s="564">
        <f>ROUND(SUM(I75:J75),0)</f>
        <v>29309</v>
      </c>
      <c r="L75" s="565"/>
      <c r="M75" s="562">
        <f>K75-L75</f>
        <v>29309</v>
      </c>
      <c r="N75" s="566">
        <f t="shared" si="8"/>
        <v>2442</v>
      </c>
      <c r="O75" s="564">
        <f t="shared" si="9"/>
        <v>29309</v>
      </c>
    </row>
    <row r="76" spans="1:15" s="41" customFormat="1" ht="15.6" customHeight="1" thickBot="1" x14ac:dyDescent="0.25">
      <c r="A76" s="1045" t="s">
        <v>751</v>
      </c>
      <c r="B76" s="1061"/>
      <c r="C76" s="526">
        <f>SUM(C7:C75)</f>
        <v>311</v>
      </c>
      <c r="D76" s="522"/>
      <c r="E76" s="524">
        <f>SUM(E7:E75)</f>
        <v>2920093</v>
      </c>
      <c r="F76" s="524">
        <f t="shared" ref="F76:L76" si="12">SUM(F7:F75)</f>
        <v>0</v>
      </c>
      <c r="G76" s="524">
        <f>SUM(G7:G75)</f>
        <v>0</v>
      </c>
      <c r="H76" s="567">
        <f t="shared" si="12"/>
        <v>0</v>
      </c>
      <c r="I76" s="568">
        <f>SUM(I7:I75)</f>
        <v>2920093</v>
      </c>
      <c r="J76" s="524">
        <f t="shared" si="12"/>
        <v>0</v>
      </c>
      <c r="K76" s="568">
        <f t="shared" si="12"/>
        <v>2920093</v>
      </c>
      <c r="L76" s="524">
        <f t="shared" si="12"/>
        <v>0</v>
      </c>
      <c r="M76" s="524">
        <f>SUM(M7:M75)</f>
        <v>2920093</v>
      </c>
      <c r="N76" s="568">
        <f>SUM(N7:N75)</f>
        <v>243342</v>
      </c>
      <c r="O76" s="568">
        <f>SUM(O7:O75)</f>
        <v>2920093</v>
      </c>
    </row>
    <row r="77" spans="1:15" s="404" customFormat="1" ht="15.6" customHeight="1" thickTop="1" x14ac:dyDescent="0.2">
      <c r="A77" s="1051" t="s">
        <v>752</v>
      </c>
      <c r="B77" s="1052"/>
      <c r="C77" s="569"/>
      <c r="D77" s="497"/>
      <c r="E77" s="570"/>
      <c r="F77" s="570"/>
      <c r="G77" s="570"/>
      <c r="H77" s="570"/>
      <c r="I77" s="570"/>
      <c r="J77" s="570"/>
      <c r="K77" s="498"/>
      <c r="L77" s="498"/>
      <c r="M77" s="497"/>
      <c r="N77" s="498"/>
      <c r="O77" s="498"/>
    </row>
    <row r="78" spans="1:15" s="404" customFormat="1" ht="15.6" customHeight="1" x14ac:dyDescent="0.2">
      <c r="A78" s="1064" t="s">
        <v>753</v>
      </c>
      <c r="B78" s="1065"/>
      <c r="C78" s="569"/>
      <c r="D78" s="497"/>
      <c r="E78" s="570"/>
      <c r="F78" s="570"/>
      <c r="G78" s="570"/>
      <c r="H78" s="570"/>
      <c r="I78" s="570"/>
      <c r="J78" s="570"/>
      <c r="K78" s="505">
        <v>0</v>
      </c>
      <c r="L78" s="498"/>
      <c r="M78" s="497">
        <f>K78-L78</f>
        <v>0</v>
      </c>
      <c r="N78" s="505">
        <f>ROUND(M78/$N$87,0)</f>
        <v>0</v>
      </c>
      <c r="O78" s="505">
        <v>0</v>
      </c>
    </row>
    <row r="79" spans="1:15" s="404" customFormat="1" ht="15.6" customHeight="1" x14ac:dyDescent="0.2">
      <c r="A79" s="1047" t="s">
        <v>754</v>
      </c>
      <c r="B79" s="1066"/>
      <c r="C79" s="582"/>
      <c r="D79" s="497"/>
      <c r="E79" s="572"/>
      <c r="F79" s="572"/>
      <c r="G79" s="572"/>
      <c r="H79" s="572"/>
      <c r="I79" s="572"/>
      <c r="J79" s="572"/>
      <c r="K79" s="498"/>
      <c r="L79" s="498"/>
      <c r="M79" s="497"/>
      <c r="N79" s="498"/>
      <c r="O79" s="505">
        <v>0</v>
      </c>
    </row>
    <row r="80" spans="1:15" s="404" customFormat="1" ht="15.6" customHeight="1" x14ac:dyDescent="0.2">
      <c r="A80" s="1043" t="s">
        <v>755</v>
      </c>
      <c r="B80" s="1062"/>
      <c r="C80" s="571"/>
      <c r="D80" s="497"/>
      <c r="E80" s="572"/>
      <c r="F80" s="572"/>
      <c r="G80" s="572"/>
      <c r="H80" s="572"/>
      <c r="I80" s="572"/>
      <c r="J80" s="572"/>
      <c r="K80" s="498"/>
      <c r="L80" s="498"/>
      <c r="M80" s="497"/>
      <c r="N80" s="498"/>
      <c r="O80" s="505">
        <v>10000</v>
      </c>
    </row>
    <row r="81" spans="1:15" s="404" customFormat="1" ht="15.6" customHeight="1" x14ac:dyDescent="0.2">
      <c r="A81" s="1043" t="s">
        <v>756</v>
      </c>
      <c r="B81" s="1062"/>
      <c r="C81" s="571"/>
      <c r="D81" s="497"/>
      <c r="E81" s="572"/>
      <c r="F81" s="572"/>
      <c r="G81" s="572"/>
      <c r="H81" s="572"/>
      <c r="I81" s="572"/>
      <c r="J81" s="572"/>
      <c r="K81" s="498"/>
      <c r="L81" s="498"/>
      <c r="M81" s="497"/>
      <c r="N81" s="498"/>
      <c r="O81" s="505">
        <v>0</v>
      </c>
    </row>
    <row r="82" spans="1:15" s="404" customFormat="1" ht="15.6" customHeight="1" x14ac:dyDescent="0.2">
      <c r="A82" s="1049" t="s">
        <v>757</v>
      </c>
      <c r="B82" s="1067"/>
      <c r="C82" s="573"/>
      <c r="D82" s="574"/>
      <c r="E82" s="575"/>
      <c r="F82" s="575"/>
      <c r="G82" s="575"/>
      <c r="H82" s="575"/>
      <c r="I82" s="575"/>
      <c r="J82" s="575"/>
      <c r="K82" s="576">
        <v>18349</v>
      </c>
      <c r="L82" s="577"/>
      <c r="M82" s="578">
        <f>K82-L82</f>
        <v>18349</v>
      </c>
      <c r="N82" s="576">
        <f>ROUND(M82/$N$87,0)</f>
        <v>1529</v>
      </c>
      <c r="O82" s="576">
        <v>18349</v>
      </c>
    </row>
    <row r="83" spans="1:15" s="404" customFormat="1" ht="15.6" customHeight="1" x14ac:dyDescent="0.2">
      <c r="A83" s="1043" t="s">
        <v>758</v>
      </c>
      <c r="B83" s="1062"/>
      <c r="C83" s="498"/>
      <c r="D83" s="498"/>
      <c r="E83" s="498"/>
      <c r="F83" s="498"/>
      <c r="G83" s="498"/>
      <c r="H83" s="498"/>
      <c r="I83" s="498"/>
      <c r="J83" s="498"/>
      <c r="K83" s="505">
        <v>59619</v>
      </c>
      <c r="L83" s="498"/>
      <c r="M83" s="497">
        <f t="shared" ref="M83:M84" si="13">K83-L83</f>
        <v>59619</v>
      </c>
      <c r="N83" s="505">
        <f t="shared" ref="N83:N84" si="14">ROUND(M83/$N$87,0)</f>
        <v>4968</v>
      </c>
      <c r="O83" s="505">
        <v>59619</v>
      </c>
    </row>
    <row r="84" spans="1:15" s="404" customFormat="1" ht="15.6" customHeight="1" x14ac:dyDescent="0.2">
      <c r="A84" s="1043" t="s">
        <v>759</v>
      </c>
      <c r="B84" s="1062"/>
      <c r="C84" s="498"/>
      <c r="D84" s="498"/>
      <c r="E84" s="498"/>
      <c r="F84" s="498"/>
      <c r="G84" s="498"/>
      <c r="H84" s="498"/>
      <c r="I84" s="498"/>
      <c r="J84" s="498"/>
      <c r="K84" s="505">
        <v>47695</v>
      </c>
      <c r="L84" s="498"/>
      <c r="M84" s="497">
        <f t="shared" si="13"/>
        <v>47695</v>
      </c>
      <c r="N84" s="505">
        <f t="shared" si="14"/>
        <v>3975</v>
      </c>
      <c r="O84" s="505">
        <v>47695</v>
      </c>
    </row>
    <row r="85" spans="1:15" s="41" customFormat="1" ht="15.6" customHeight="1" thickBot="1" x14ac:dyDescent="0.25">
      <c r="A85" s="1045" t="s">
        <v>760</v>
      </c>
      <c r="B85" s="1063"/>
      <c r="C85" s="526">
        <f>SUM(C76:C84)</f>
        <v>311</v>
      </c>
      <c r="D85" s="522"/>
      <c r="E85" s="524">
        <f>SUM(E76:E84)</f>
        <v>2920093</v>
      </c>
      <c r="F85" s="524">
        <f t="shared" ref="F85:O85" si="15">SUM(F76:F84)</f>
        <v>0</v>
      </c>
      <c r="G85" s="524">
        <f t="shared" si="15"/>
        <v>0</v>
      </c>
      <c r="H85" s="567">
        <f t="shared" si="15"/>
        <v>0</v>
      </c>
      <c r="I85" s="568">
        <f t="shared" si="15"/>
        <v>2920093</v>
      </c>
      <c r="J85" s="524">
        <f t="shared" si="15"/>
        <v>0</v>
      </c>
      <c r="K85" s="568">
        <f t="shared" si="15"/>
        <v>3045756</v>
      </c>
      <c r="L85" s="524">
        <f t="shared" si="15"/>
        <v>0</v>
      </c>
      <c r="M85" s="524">
        <f t="shared" si="15"/>
        <v>3045756</v>
      </c>
      <c r="N85" s="568">
        <f t="shared" si="15"/>
        <v>253814</v>
      </c>
      <c r="O85" s="568">
        <f t="shared" si="15"/>
        <v>3055756</v>
      </c>
    </row>
    <row r="86" spans="1:15" ht="13.5" thickTop="1" x14ac:dyDescent="0.2"/>
    <row r="87" spans="1:15" x14ac:dyDescent="0.2">
      <c r="L87" s="15"/>
      <c r="N87" s="2">
        <v>12</v>
      </c>
    </row>
  </sheetData>
  <sheetProtection password="D893" sheet="1" objects="1" scenarios="1"/>
  <mergeCells count="14">
    <mergeCell ref="A84:B84"/>
    <mergeCell ref="A85:B85"/>
    <mergeCell ref="A78:B78"/>
    <mergeCell ref="A79:B79"/>
    <mergeCell ref="A80:B80"/>
    <mergeCell ref="A81:B81"/>
    <mergeCell ref="A82:B82"/>
    <mergeCell ref="A83:B83"/>
    <mergeCell ref="A77:B77"/>
    <mergeCell ref="A1:B3"/>
    <mergeCell ref="C1:H1"/>
    <mergeCell ref="I1:O1"/>
    <mergeCell ref="F2:H2"/>
    <mergeCell ref="A76:B76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&amp;L&amp;"Arial,Bold"&amp;20&amp;K000000FY2021-22 Budget Letter
July 2021&amp;R&amp;"Arial,Bold"&amp;12&amp;KFF0000
</oddHeader>
    <oddFooter>&amp;R&amp;9&amp;P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87"/>
  <sheetViews>
    <sheetView zoomScaleNormal="100" zoomScaleSheetLayoutView="100" workbookViewId="0">
      <pane xSplit="2" ySplit="6" topLeftCell="C7" activePane="bottomRight" state="frozen"/>
      <selection activeCell="A78" sqref="A78:B78"/>
      <selection pane="topRight" activeCell="A78" sqref="A78:B78"/>
      <selection pane="bottomLeft" activeCell="A78" sqref="A78:B78"/>
      <selection pane="bottomRight" activeCell="C7" sqref="C7"/>
    </sheetView>
  </sheetViews>
  <sheetFormatPr defaultColWidth="8.85546875" defaultRowHeight="12.75" x14ac:dyDescent="0.2"/>
  <cols>
    <col min="1" max="1" width="5" style="2" customWidth="1"/>
    <col min="2" max="2" width="27" style="2" customWidth="1"/>
    <col min="3" max="8" width="15.7109375" style="2" customWidth="1"/>
    <col min="9" max="9" width="14.140625" style="2" customWidth="1"/>
    <col min="10" max="10" width="13.42578125" style="2" bestFit="1" customWidth="1"/>
    <col min="11" max="11" width="17.85546875" style="2" customWidth="1"/>
    <col min="12" max="14" width="14.5703125" style="2" customWidth="1"/>
    <col min="15" max="15" width="19.140625" style="2" customWidth="1"/>
    <col min="16" max="16384" width="8.85546875" style="2"/>
  </cols>
  <sheetData>
    <row r="1" spans="1:15" ht="17.45" customHeight="1" x14ac:dyDescent="0.2">
      <c r="A1" s="1053" t="s">
        <v>781</v>
      </c>
      <c r="B1" s="1053"/>
      <c r="C1" s="1054" t="s">
        <v>625</v>
      </c>
      <c r="D1" s="1055"/>
      <c r="E1" s="1055"/>
      <c r="F1" s="1055"/>
      <c r="G1" s="1055"/>
      <c r="H1" s="1056"/>
      <c r="I1" s="1054" t="s">
        <v>625</v>
      </c>
      <c r="J1" s="1055"/>
      <c r="K1" s="1055"/>
      <c r="L1" s="1055"/>
      <c r="M1" s="1055"/>
      <c r="N1" s="1055"/>
      <c r="O1" s="1056"/>
    </row>
    <row r="2" spans="1:15" s="536" customFormat="1" ht="17.25" customHeight="1" x14ac:dyDescent="0.2">
      <c r="A2" s="1053"/>
      <c r="B2" s="1053"/>
      <c r="C2" s="579"/>
      <c r="D2" s="580"/>
      <c r="E2" s="580"/>
      <c r="F2" s="1068" t="s">
        <v>18</v>
      </c>
      <c r="G2" s="1068"/>
      <c r="H2" s="1068"/>
      <c r="I2" s="579"/>
      <c r="J2" s="580"/>
      <c r="K2" s="580"/>
      <c r="L2" s="580"/>
      <c r="M2" s="580"/>
      <c r="N2" s="580"/>
      <c r="O2" s="581"/>
    </row>
    <row r="3" spans="1:15" ht="138" customHeight="1" x14ac:dyDescent="0.2">
      <c r="A3" s="1053"/>
      <c r="B3" s="1053"/>
      <c r="C3" s="537" t="s">
        <v>626</v>
      </c>
      <c r="D3" s="538" t="s">
        <v>778</v>
      </c>
      <c r="E3" s="538" t="s">
        <v>779</v>
      </c>
      <c r="F3" s="539" t="s">
        <v>63</v>
      </c>
      <c r="G3" s="539" t="s">
        <v>64</v>
      </c>
      <c r="H3" s="539" t="s">
        <v>65</v>
      </c>
      <c r="I3" s="538" t="s">
        <v>765</v>
      </c>
      <c r="J3" s="540" t="s">
        <v>670</v>
      </c>
      <c r="K3" s="541" t="s">
        <v>766</v>
      </c>
      <c r="L3" s="541" t="s">
        <v>636</v>
      </c>
      <c r="M3" s="541" t="s">
        <v>637</v>
      </c>
      <c r="N3" s="541" t="s">
        <v>638</v>
      </c>
      <c r="O3" s="541" t="s">
        <v>767</v>
      </c>
    </row>
    <row r="4" spans="1:15" ht="14.25" customHeight="1" x14ac:dyDescent="0.2">
      <c r="A4" s="542"/>
      <c r="B4" s="543"/>
      <c r="C4" s="544">
        <v>1</v>
      </c>
      <c r="D4" s="544">
        <f>C4+1</f>
        <v>2</v>
      </c>
      <c r="E4" s="544">
        <f>D4+1</f>
        <v>3</v>
      </c>
      <c r="F4" s="544">
        <f t="shared" ref="F4:O4" si="0">E4+1</f>
        <v>4</v>
      </c>
      <c r="G4" s="544">
        <f t="shared" si="0"/>
        <v>5</v>
      </c>
      <c r="H4" s="544">
        <f t="shared" si="0"/>
        <v>6</v>
      </c>
      <c r="I4" s="544">
        <f t="shared" si="0"/>
        <v>7</v>
      </c>
      <c r="J4" s="544">
        <f t="shared" si="0"/>
        <v>8</v>
      </c>
      <c r="K4" s="544">
        <f t="shared" si="0"/>
        <v>9</v>
      </c>
      <c r="L4" s="544">
        <f t="shared" si="0"/>
        <v>10</v>
      </c>
      <c r="M4" s="544">
        <f t="shared" si="0"/>
        <v>11</v>
      </c>
      <c r="N4" s="544">
        <f t="shared" si="0"/>
        <v>12</v>
      </c>
      <c r="O4" s="544">
        <f t="shared" si="0"/>
        <v>13</v>
      </c>
    </row>
    <row r="5" spans="1:15" s="381" customFormat="1" ht="11.25" hidden="1" x14ac:dyDescent="0.2">
      <c r="A5" s="545"/>
      <c r="B5" s="545"/>
      <c r="C5" s="34"/>
      <c r="D5" s="34" t="s">
        <v>73</v>
      </c>
      <c r="E5" s="34" t="s">
        <v>74</v>
      </c>
      <c r="F5" s="34" t="s">
        <v>640</v>
      </c>
      <c r="G5" s="34" t="s">
        <v>640</v>
      </c>
      <c r="H5" s="34" t="s">
        <v>74</v>
      </c>
      <c r="I5" s="34" t="s">
        <v>74</v>
      </c>
      <c r="J5" s="34" t="s">
        <v>112</v>
      </c>
      <c r="K5" s="34" t="s">
        <v>731</v>
      </c>
      <c r="L5" s="34" t="s">
        <v>768</v>
      </c>
      <c r="M5" s="34" t="s">
        <v>74</v>
      </c>
      <c r="N5" s="34" t="s">
        <v>74</v>
      </c>
      <c r="O5" s="34" t="s">
        <v>733</v>
      </c>
    </row>
    <row r="6" spans="1:15" s="381" customFormat="1" ht="22.5" customHeight="1" x14ac:dyDescent="0.2">
      <c r="A6" s="545"/>
      <c r="B6" s="545"/>
      <c r="C6" s="546" t="s">
        <v>782</v>
      </c>
      <c r="D6" s="546" t="s">
        <v>770</v>
      </c>
      <c r="E6" s="546" t="s">
        <v>644</v>
      </c>
      <c r="F6" s="546" t="s">
        <v>115</v>
      </c>
      <c r="G6" s="546" t="s">
        <v>116</v>
      </c>
      <c r="H6" s="546" t="s">
        <v>649</v>
      </c>
      <c r="I6" s="546" t="s">
        <v>771</v>
      </c>
      <c r="J6" s="34" t="s">
        <v>112</v>
      </c>
      <c r="K6" s="546" t="s">
        <v>772</v>
      </c>
      <c r="L6" s="546" t="s">
        <v>773</v>
      </c>
      <c r="M6" s="546" t="s">
        <v>774</v>
      </c>
      <c r="N6" s="546" t="s">
        <v>775</v>
      </c>
      <c r="O6" s="546" t="s">
        <v>776</v>
      </c>
    </row>
    <row r="7" spans="1:15" ht="15.6" customHeight="1" x14ac:dyDescent="0.2">
      <c r="A7" s="547">
        <v>1</v>
      </c>
      <c r="B7" s="548" t="s">
        <v>131</v>
      </c>
      <c r="C7" s="549">
        <f>'8_2.1.21 SIS'!BH7</f>
        <v>0</v>
      </c>
      <c r="D7" s="550">
        <f>'9_Per Pupil Summary'!S6</f>
        <v>8622.6964429385825</v>
      </c>
      <c r="E7" s="550">
        <f>ROUND(C7*D7,0)</f>
        <v>0</v>
      </c>
      <c r="F7" s="550"/>
      <c r="G7" s="550"/>
      <c r="H7" s="551">
        <f t="shared" ref="H7:H70" si="1">F7+G7</f>
        <v>0</v>
      </c>
      <c r="I7" s="552">
        <f>E7+H7</f>
        <v>0</v>
      </c>
      <c r="J7" s="550">
        <f>'[1]5A6_Thrive'!$H7</f>
        <v>0</v>
      </c>
      <c r="K7" s="552">
        <f>ROUND(SUM(I7:J7),0)</f>
        <v>0</v>
      </c>
      <c r="L7" s="550"/>
      <c r="M7" s="550">
        <f>K7-L7</f>
        <v>0</v>
      </c>
      <c r="N7" s="552">
        <f t="shared" ref="N7:N70" si="2">ROUND(M7/$N$87,0)</f>
        <v>0</v>
      </c>
      <c r="O7" s="553">
        <f t="shared" ref="O7:O70" si="3">K7</f>
        <v>0</v>
      </c>
    </row>
    <row r="8" spans="1:15" ht="15.6" customHeight="1" x14ac:dyDescent="0.2">
      <c r="A8" s="424">
        <v>2</v>
      </c>
      <c r="B8" s="425" t="s">
        <v>132</v>
      </c>
      <c r="C8" s="554">
        <f>'8_2.1.21 SIS'!BH8</f>
        <v>0</v>
      </c>
      <c r="D8" s="427">
        <f>'9_Per Pupil Summary'!S7</f>
        <v>10428.450576725025</v>
      </c>
      <c r="E8" s="427">
        <f t="shared" ref="E8:E71" si="4">ROUND(C8*D8,0)</f>
        <v>0</v>
      </c>
      <c r="F8" s="427"/>
      <c r="G8" s="427"/>
      <c r="H8" s="431">
        <f t="shared" si="1"/>
        <v>0</v>
      </c>
      <c r="I8" s="430">
        <f t="shared" ref="I8:I71" si="5">E8+H8</f>
        <v>0</v>
      </c>
      <c r="J8" s="427">
        <f>'[1]5A6_Thrive'!$H8</f>
        <v>0</v>
      </c>
      <c r="K8" s="430">
        <f t="shared" ref="K8:K71" si="6">ROUND(SUM(I8:J8),0)</f>
        <v>0</v>
      </c>
      <c r="L8" s="427"/>
      <c r="M8" s="427">
        <f t="shared" ref="M8:M71" si="7">K8-L8</f>
        <v>0</v>
      </c>
      <c r="N8" s="430">
        <f t="shared" si="2"/>
        <v>0</v>
      </c>
      <c r="O8" s="430">
        <f t="shared" si="3"/>
        <v>0</v>
      </c>
    </row>
    <row r="9" spans="1:15" ht="15.6" customHeight="1" x14ac:dyDescent="0.2">
      <c r="A9" s="424">
        <v>3</v>
      </c>
      <c r="B9" s="425" t="s">
        <v>133</v>
      </c>
      <c r="C9" s="554">
        <f>'8_2.1.21 SIS'!BH9</f>
        <v>5</v>
      </c>
      <c r="D9" s="427">
        <f>'9_Per Pupil Summary'!S8</f>
        <v>8524.0766371065911</v>
      </c>
      <c r="E9" s="427">
        <f t="shared" si="4"/>
        <v>42620</v>
      </c>
      <c r="F9" s="427"/>
      <c r="G9" s="427"/>
      <c r="H9" s="431">
        <f t="shared" si="1"/>
        <v>0</v>
      </c>
      <c r="I9" s="430">
        <f t="shared" si="5"/>
        <v>42620</v>
      </c>
      <c r="J9" s="427">
        <f>'[1]5A6_Thrive'!$H9</f>
        <v>0</v>
      </c>
      <c r="K9" s="430">
        <f t="shared" si="6"/>
        <v>42620</v>
      </c>
      <c r="L9" s="427"/>
      <c r="M9" s="427">
        <f t="shared" si="7"/>
        <v>42620</v>
      </c>
      <c r="N9" s="430">
        <f t="shared" si="2"/>
        <v>3552</v>
      </c>
      <c r="O9" s="430">
        <f t="shared" si="3"/>
        <v>42620</v>
      </c>
    </row>
    <row r="10" spans="1:15" ht="15.6" customHeight="1" x14ac:dyDescent="0.2">
      <c r="A10" s="424">
        <v>4</v>
      </c>
      <c r="B10" s="425" t="s">
        <v>134</v>
      </c>
      <c r="C10" s="554">
        <f>'8_2.1.21 SIS'!BH10</f>
        <v>0</v>
      </c>
      <c r="D10" s="427">
        <f>'9_Per Pupil Summary'!S9</f>
        <v>10320.058942924688</v>
      </c>
      <c r="E10" s="427">
        <f t="shared" si="4"/>
        <v>0</v>
      </c>
      <c r="F10" s="427"/>
      <c r="G10" s="427"/>
      <c r="H10" s="431">
        <f t="shared" si="1"/>
        <v>0</v>
      </c>
      <c r="I10" s="430">
        <f t="shared" si="5"/>
        <v>0</v>
      </c>
      <c r="J10" s="427">
        <f>'[1]5A6_Thrive'!$H10</f>
        <v>0</v>
      </c>
      <c r="K10" s="430">
        <f t="shared" si="6"/>
        <v>0</v>
      </c>
      <c r="L10" s="427"/>
      <c r="M10" s="427">
        <f t="shared" si="7"/>
        <v>0</v>
      </c>
      <c r="N10" s="430">
        <f t="shared" si="2"/>
        <v>0</v>
      </c>
      <c r="O10" s="430">
        <f t="shared" si="3"/>
        <v>0</v>
      </c>
    </row>
    <row r="11" spans="1:15" ht="15.6" customHeight="1" x14ac:dyDescent="0.2">
      <c r="A11" s="434">
        <v>5</v>
      </c>
      <c r="B11" s="435" t="s">
        <v>135</v>
      </c>
      <c r="C11" s="485">
        <f>'8_2.1.21 SIS'!BH11</f>
        <v>0</v>
      </c>
      <c r="D11" s="437">
        <f>'9_Per Pupil Summary'!S10</f>
        <v>8634.273484587402</v>
      </c>
      <c r="E11" s="437">
        <f t="shared" si="4"/>
        <v>0</v>
      </c>
      <c r="F11" s="437"/>
      <c r="G11" s="437"/>
      <c r="H11" s="441">
        <f t="shared" si="1"/>
        <v>0</v>
      </c>
      <c r="I11" s="440">
        <f t="shared" si="5"/>
        <v>0</v>
      </c>
      <c r="J11" s="437">
        <f>'[1]5A6_Thrive'!$H11</f>
        <v>0</v>
      </c>
      <c r="K11" s="440">
        <f t="shared" si="6"/>
        <v>0</v>
      </c>
      <c r="L11" s="443"/>
      <c r="M11" s="437">
        <f t="shared" si="7"/>
        <v>0</v>
      </c>
      <c r="N11" s="444">
        <f t="shared" si="2"/>
        <v>0</v>
      </c>
      <c r="O11" s="440">
        <f t="shared" si="3"/>
        <v>0</v>
      </c>
    </row>
    <row r="12" spans="1:15" ht="15.6" customHeight="1" x14ac:dyDescent="0.2">
      <c r="A12" s="547">
        <v>6</v>
      </c>
      <c r="B12" s="548" t="s">
        <v>136</v>
      </c>
      <c r="C12" s="549">
        <f>'8_2.1.21 SIS'!BH12</f>
        <v>0</v>
      </c>
      <c r="D12" s="550">
        <f>'9_Per Pupil Summary'!S11</f>
        <v>9752.1017584369438</v>
      </c>
      <c r="E12" s="550">
        <f t="shared" si="4"/>
        <v>0</v>
      </c>
      <c r="F12" s="550"/>
      <c r="G12" s="550"/>
      <c r="H12" s="551">
        <f t="shared" si="1"/>
        <v>0</v>
      </c>
      <c r="I12" s="552">
        <f t="shared" si="5"/>
        <v>0</v>
      </c>
      <c r="J12" s="550">
        <f>'[1]5A6_Thrive'!$H12</f>
        <v>0</v>
      </c>
      <c r="K12" s="552">
        <f t="shared" si="6"/>
        <v>0</v>
      </c>
      <c r="L12" s="550"/>
      <c r="M12" s="550">
        <f t="shared" si="7"/>
        <v>0</v>
      </c>
      <c r="N12" s="552">
        <f t="shared" si="2"/>
        <v>0</v>
      </c>
      <c r="O12" s="553">
        <f t="shared" si="3"/>
        <v>0</v>
      </c>
    </row>
    <row r="13" spans="1:15" ht="15.6" customHeight="1" x14ac:dyDescent="0.2">
      <c r="A13" s="424">
        <v>7</v>
      </c>
      <c r="B13" s="425" t="s">
        <v>137</v>
      </c>
      <c r="C13" s="554">
        <f>'8_2.1.21 SIS'!BH13</f>
        <v>0</v>
      </c>
      <c r="D13" s="427">
        <f>'9_Per Pupil Summary'!S12</f>
        <v>9579.2945121951216</v>
      </c>
      <c r="E13" s="427">
        <f t="shared" si="4"/>
        <v>0</v>
      </c>
      <c r="F13" s="427"/>
      <c r="G13" s="427"/>
      <c r="H13" s="431">
        <f t="shared" si="1"/>
        <v>0</v>
      </c>
      <c r="I13" s="430">
        <f t="shared" si="5"/>
        <v>0</v>
      </c>
      <c r="J13" s="427">
        <f>'[1]5A6_Thrive'!$H13</f>
        <v>0</v>
      </c>
      <c r="K13" s="430">
        <f t="shared" si="6"/>
        <v>0</v>
      </c>
      <c r="L13" s="427"/>
      <c r="M13" s="427">
        <f t="shared" si="7"/>
        <v>0</v>
      </c>
      <c r="N13" s="430">
        <f t="shared" si="2"/>
        <v>0</v>
      </c>
      <c r="O13" s="430">
        <f t="shared" si="3"/>
        <v>0</v>
      </c>
    </row>
    <row r="14" spans="1:15" ht="15.6" customHeight="1" x14ac:dyDescent="0.2">
      <c r="A14" s="424">
        <v>8</v>
      </c>
      <c r="B14" s="425" t="s">
        <v>138</v>
      </c>
      <c r="C14" s="554">
        <f>'8_2.1.21 SIS'!BH14</f>
        <v>0</v>
      </c>
      <c r="D14" s="427">
        <f>'9_Per Pupil Summary'!S13</f>
        <v>9343.8343880326393</v>
      </c>
      <c r="E14" s="427">
        <f t="shared" si="4"/>
        <v>0</v>
      </c>
      <c r="F14" s="427"/>
      <c r="G14" s="427"/>
      <c r="H14" s="431">
        <f t="shared" si="1"/>
        <v>0</v>
      </c>
      <c r="I14" s="430">
        <f t="shared" si="5"/>
        <v>0</v>
      </c>
      <c r="J14" s="427">
        <f>'[1]5A6_Thrive'!$H14</f>
        <v>0</v>
      </c>
      <c r="K14" s="430">
        <f t="shared" si="6"/>
        <v>0</v>
      </c>
      <c r="L14" s="427"/>
      <c r="M14" s="427">
        <f t="shared" si="7"/>
        <v>0</v>
      </c>
      <c r="N14" s="430">
        <f t="shared" si="2"/>
        <v>0</v>
      </c>
      <c r="O14" s="430">
        <f t="shared" si="3"/>
        <v>0</v>
      </c>
    </row>
    <row r="15" spans="1:15" ht="15.6" customHeight="1" x14ac:dyDescent="0.2">
      <c r="A15" s="424">
        <v>9</v>
      </c>
      <c r="B15" s="425" t="s">
        <v>139</v>
      </c>
      <c r="C15" s="554">
        <f>'8_2.1.21 SIS'!BH15</f>
        <v>0</v>
      </c>
      <c r="D15" s="427">
        <f>'9_Per Pupil Summary'!S14</f>
        <v>9224.1189218498184</v>
      </c>
      <c r="E15" s="427">
        <f t="shared" si="4"/>
        <v>0</v>
      </c>
      <c r="F15" s="427"/>
      <c r="G15" s="427"/>
      <c r="H15" s="431">
        <f t="shared" si="1"/>
        <v>0</v>
      </c>
      <c r="I15" s="430">
        <f t="shared" si="5"/>
        <v>0</v>
      </c>
      <c r="J15" s="427">
        <f>'[1]5A6_Thrive'!$H15</f>
        <v>0</v>
      </c>
      <c r="K15" s="430">
        <f t="shared" si="6"/>
        <v>0</v>
      </c>
      <c r="L15" s="427"/>
      <c r="M15" s="427">
        <f t="shared" si="7"/>
        <v>0</v>
      </c>
      <c r="N15" s="430">
        <f t="shared" si="2"/>
        <v>0</v>
      </c>
      <c r="O15" s="430">
        <f t="shared" si="3"/>
        <v>0</v>
      </c>
    </row>
    <row r="16" spans="1:15" ht="15.6" customHeight="1" x14ac:dyDescent="0.2">
      <c r="A16" s="434">
        <v>10</v>
      </c>
      <c r="B16" s="435" t="s">
        <v>140</v>
      </c>
      <c r="C16" s="485">
        <f>'8_2.1.21 SIS'!BH16</f>
        <v>0</v>
      </c>
      <c r="D16" s="437">
        <f>'9_Per Pupil Summary'!S15</f>
        <v>8995.4376133402802</v>
      </c>
      <c r="E16" s="437">
        <f t="shared" si="4"/>
        <v>0</v>
      </c>
      <c r="F16" s="437"/>
      <c r="G16" s="437"/>
      <c r="H16" s="441">
        <f t="shared" si="1"/>
        <v>0</v>
      </c>
      <c r="I16" s="440">
        <f t="shared" si="5"/>
        <v>0</v>
      </c>
      <c r="J16" s="437">
        <f>'[1]5A6_Thrive'!$H16</f>
        <v>0</v>
      </c>
      <c r="K16" s="440">
        <f t="shared" si="6"/>
        <v>0</v>
      </c>
      <c r="L16" s="443"/>
      <c r="M16" s="437">
        <f t="shared" si="7"/>
        <v>0</v>
      </c>
      <c r="N16" s="444">
        <f t="shared" si="2"/>
        <v>0</v>
      </c>
      <c r="O16" s="440">
        <f t="shared" si="3"/>
        <v>0</v>
      </c>
    </row>
    <row r="17" spans="1:15" ht="15.6" customHeight="1" x14ac:dyDescent="0.2">
      <c r="A17" s="547">
        <v>11</v>
      </c>
      <c r="B17" s="548" t="s">
        <v>141</v>
      </c>
      <c r="C17" s="549">
        <f>'8_2.1.21 SIS'!BH17</f>
        <v>0</v>
      </c>
      <c r="D17" s="550">
        <f>'9_Per Pupil Summary'!S16</f>
        <v>11326.541657754011</v>
      </c>
      <c r="E17" s="550">
        <f t="shared" si="4"/>
        <v>0</v>
      </c>
      <c r="F17" s="550"/>
      <c r="G17" s="550"/>
      <c r="H17" s="551">
        <f t="shared" si="1"/>
        <v>0</v>
      </c>
      <c r="I17" s="552">
        <f t="shared" si="5"/>
        <v>0</v>
      </c>
      <c r="J17" s="550">
        <f>'[1]5A6_Thrive'!$H17</f>
        <v>0</v>
      </c>
      <c r="K17" s="552">
        <f t="shared" si="6"/>
        <v>0</v>
      </c>
      <c r="L17" s="550"/>
      <c r="M17" s="550">
        <f t="shared" si="7"/>
        <v>0</v>
      </c>
      <c r="N17" s="552">
        <f t="shared" si="2"/>
        <v>0</v>
      </c>
      <c r="O17" s="553">
        <f t="shared" si="3"/>
        <v>0</v>
      </c>
    </row>
    <row r="18" spans="1:15" ht="15.6" customHeight="1" x14ac:dyDescent="0.2">
      <c r="A18" s="424">
        <v>12</v>
      </c>
      <c r="B18" s="425" t="s">
        <v>142</v>
      </c>
      <c r="C18" s="554">
        <f>'8_2.1.21 SIS'!BH18</f>
        <v>0</v>
      </c>
      <c r="D18" s="427">
        <f>'9_Per Pupil Summary'!S17</f>
        <v>10349.101671087534</v>
      </c>
      <c r="E18" s="427">
        <f t="shared" si="4"/>
        <v>0</v>
      </c>
      <c r="F18" s="427"/>
      <c r="G18" s="427"/>
      <c r="H18" s="431">
        <f t="shared" si="1"/>
        <v>0</v>
      </c>
      <c r="I18" s="430">
        <f t="shared" si="5"/>
        <v>0</v>
      </c>
      <c r="J18" s="427">
        <f>'[1]5A6_Thrive'!$H18</f>
        <v>0</v>
      </c>
      <c r="K18" s="430">
        <f t="shared" si="6"/>
        <v>0</v>
      </c>
      <c r="L18" s="427"/>
      <c r="M18" s="427">
        <f t="shared" si="7"/>
        <v>0</v>
      </c>
      <c r="N18" s="430">
        <f t="shared" si="2"/>
        <v>0</v>
      </c>
      <c r="O18" s="430">
        <f t="shared" si="3"/>
        <v>0</v>
      </c>
    </row>
    <row r="19" spans="1:15" ht="15.6" customHeight="1" x14ac:dyDescent="0.2">
      <c r="A19" s="424">
        <v>13</v>
      </c>
      <c r="B19" s="425" t="s">
        <v>143</v>
      </c>
      <c r="C19" s="554">
        <f>'8_2.1.21 SIS'!BH19</f>
        <v>0</v>
      </c>
      <c r="D19" s="427">
        <f>'9_Per Pupil Summary'!S18</f>
        <v>10789.676720475787</v>
      </c>
      <c r="E19" s="427">
        <f t="shared" si="4"/>
        <v>0</v>
      </c>
      <c r="F19" s="427"/>
      <c r="G19" s="427"/>
      <c r="H19" s="431">
        <f t="shared" si="1"/>
        <v>0</v>
      </c>
      <c r="I19" s="430">
        <f t="shared" si="5"/>
        <v>0</v>
      </c>
      <c r="J19" s="427">
        <f>'[1]5A6_Thrive'!$H19</f>
        <v>0</v>
      </c>
      <c r="K19" s="430">
        <f t="shared" si="6"/>
        <v>0</v>
      </c>
      <c r="L19" s="427"/>
      <c r="M19" s="427">
        <f t="shared" si="7"/>
        <v>0</v>
      </c>
      <c r="N19" s="430">
        <f t="shared" si="2"/>
        <v>0</v>
      </c>
      <c r="O19" s="430">
        <f t="shared" si="3"/>
        <v>0</v>
      </c>
    </row>
    <row r="20" spans="1:15" ht="15.6" customHeight="1" x14ac:dyDescent="0.2">
      <c r="A20" s="424">
        <v>14</v>
      </c>
      <c r="B20" s="425" t="s">
        <v>144</v>
      </c>
      <c r="C20" s="554">
        <f>'8_2.1.21 SIS'!BH20</f>
        <v>0</v>
      </c>
      <c r="D20" s="427">
        <f>'9_Per Pupil Summary'!S19</f>
        <v>11827.515594405595</v>
      </c>
      <c r="E20" s="427">
        <f t="shared" si="4"/>
        <v>0</v>
      </c>
      <c r="F20" s="427"/>
      <c r="G20" s="427"/>
      <c r="H20" s="431">
        <f t="shared" si="1"/>
        <v>0</v>
      </c>
      <c r="I20" s="430">
        <f t="shared" si="5"/>
        <v>0</v>
      </c>
      <c r="J20" s="427">
        <f>'[1]5A6_Thrive'!$H20</f>
        <v>0</v>
      </c>
      <c r="K20" s="430">
        <f t="shared" si="6"/>
        <v>0</v>
      </c>
      <c r="L20" s="427"/>
      <c r="M20" s="427">
        <f t="shared" si="7"/>
        <v>0</v>
      </c>
      <c r="N20" s="430">
        <f t="shared" si="2"/>
        <v>0</v>
      </c>
      <c r="O20" s="430">
        <f t="shared" si="3"/>
        <v>0</v>
      </c>
    </row>
    <row r="21" spans="1:15" ht="15.6" customHeight="1" x14ac:dyDescent="0.2">
      <c r="A21" s="434">
        <v>15</v>
      </c>
      <c r="B21" s="435" t="s">
        <v>145</v>
      </c>
      <c r="C21" s="485">
        <f>'8_2.1.21 SIS'!BH21</f>
        <v>0</v>
      </c>
      <c r="D21" s="437">
        <f>'9_Per Pupil Summary'!S20</f>
        <v>10278.433874709975</v>
      </c>
      <c r="E21" s="437">
        <f t="shared" si="4"/>
        <v>0</v>
      </c>
      <c r="F21" s="437"/>
      <c r="G21" s="437"/>
      <c r="H21" s="441">
        <f t="shared" si="1"/>
        <v>0</v>
      </c>
      <c r="I21" s="440">
        <f t="shared" si="5"/>
        <v>0</v>
      </c>
      <c r="J21" s="437">
        <f>'[1]5A6_Thrive'!$H21</f>
        <v>0</v>
      </c>
      <c r="K21" s="440">
        <f t="shared" si="6"/>
        <v>0</v>
      </c>
      <c r="L21" s="443"/>
      <c r="M21" s="437">
        <f t="shared" si="7"/>
        <v>0</v>
      </c>
      <c r="N21" s="444">
        <f t="shared" si="2"/>
        <v>0</v>
      </c>
      <c r="O21" s="440">
        <f t="shared" si="3"/>
        <v>0</v>
      </c>
    </row>
    <row r="22" spans="1:15" ht="15.6" customHeight="1" x14ac:dyDescent="0.2">
      <c r="A22" s="547">
        <v>16</v>
      </c>
      <c r="B22" s="548" t="s">
        <v>146</v>
      </c>
      <c r="C22" s="549">
        <f>'8_2.1.21 SIS'!BH22</f>
        <v>0</v>
      </c>
      <c r="D22" s="550">
        <f>'9_Per Pupil Summary'!S21</f>
        <v>8575.9597860962567</v>
      </c>
      <c r="E22" s="550">
        <f t="shared" si="4"/>
        <v>0</v>
      </c>
      <c r="F22" s="550"/>
      <c r="G22" s="550"/>
      <c r="H22" s="551">
        <f t="shared" si="1"/>
        <v>0</v>
      </c>
      <c r="I22" s="552">
        <f t="shared" si="5"/>
        <v>0</v>
      </c>
      <c r="J22" s="550">
        <f>'[1]5A6_Thrive'!$H22</f>
        <v>0</v>
      </c>
      <c r="K22" s="552">
        <f t="shared" si="6"/>
        <v>0</v>
      </c>
      <c r="L22" s="550"/>
      <c r="M22" s="550">
        <f t="shared" si="7"/>
        <v>0</v>
      </c>
      <c r="N22" s="552">
        <f t="shared" si="2"/>
        <v>0</v>
      </c>
      <c r="O22" s="553">
        <f t="shared" si="3"/>
        <v>0</v>
      </c>
    </row>
    <row r="23" spans="1:15" ht="15.6" customHeight="1" x14ac:dyDescent="0.2">
      <c r="A23" s="424">
        <v>17</v>
      </c>
      <c r="B23" s="425" t="s">
        <v>147</v>
      </c>
      <c r="C23" s="554">
        <f>'8_2.1.21 SIS'!BH23</f>
        <v>141</v>
      </c>
      <c r="D23" s="427">
        <f>'9_Per Pupil Summary'!S22</f>
        <v>9012.4668992093539</v>
      </c>
      <c r="E23" s="427">
        <f t="shared" si="4"/>
        <v>1270758</v>
      </c>
      <c r="F23" s="427"/>
      <c r="G23" s="427"/>
      <c r="H23" s="431">
        <f t="shared" si="1"/>
        <v>0</v>
      </c>
      <c r="I23" s="430">
        <f t="shared" si="5"/>
        <v>1270758</v>
      </c>
      <c r="J23" s="427">
        <f>'[1]5A6_Thrive'!$H23</f>
        <v>-4476</v>
      </c>
      <c r="K23" s="430">
        <f t="shared" si="6"/>
        <v>1266282</v>
      </c>
      <c r="L23" s="427"/>
      <c r="M23" s="427">
        <f t="shared" si="7"/>
        <v>1266282</v>
      </c>
      <c r="N23" s="430">
        <f t="shared" si="2"/>
        <v>105524</v>
      </c>
      <c r="O23" s="430">
        <f t="shared" si="3"/>
        <v>1266282</v>
      </c>
    </row>
    <row r="24" spans="1:15" ht="15.6" customHeight="1" x14ac:dyDescent="0.2">
      <c r="A24" s="424">
        <v>18</v>
      </c>
      <c r="B24" s="425" t="s">
        <v>148</v>
      </c>
      <c r="C24" s="554">
        <f>'8_2.1.21 SIS'!BH24</f>
        <v>0</v>
      </c>
      <c r="D24" s="427">
        <f>'9_Per Pupil Summary'!S23</f>
        <v>10490.525317559153</v>
      </c>
      <c r="E24" s="427">
        <f t="shared" si="4"/>
        <v>0</v>
      </c>
      <c r="F24" s="427"/>
      <c r="G24" s="427"/>
      <c r="H24" s="431">
        <f t="shared" si="1"/>
        <v>0</v>
      </c>
      <c r="I24" s="430">
        <f t="shared" si="5"/>
        <v>0</v>
      </c>
      <c r="J24" s="427">
        <f>'[1]5A6_Thrive'!$H24</f>
        <v>0</v>
      </c>
      <c r="K24" s="430">
        <f t="shared" si="6"/>
        <v>0</v>
      </c>
      <c r="L24" s="427"/>
      <c r="M24" s="427">
        <f t="shared" si="7"/>
        <v>0</v>
      </c>
      <c r="N24" s="430">
        <f t="shared" si="2"/>
        <v>0</v>
      </c>
      <c r="O24" s="430">
        <f t="shared" si="3"/>
        <v>0</v>
      </c>
    </row>
    <row r="25" spans="1:15" ht="15.6" customHeight="1" x14ac:dyDescent="0.2">
      <c r="A25" s="424">
        <v>19</v>
      </c>
      <c r="B25" s="425" t="s">
        <v>149</v>
      </c>
      <c r="C25" s="554">
        <f>'8_2.1.21 SIS'!BH25</f>
        <v>0</v>
      </c>
      <c r="D25" s="427">
        <f>'9_Per Pupil Summary'!S24</f>
        <v>10120.741296625223</v>
      </c>
      <c r="E25" s="427">
        <f t="shared" si="4"/>
        <v>0</v>
      </c>
      <c r="F25" s="427"/>
      <c r="G25" s="427"/>
      <c r="H25" s="431">
        <f t="shared" si="1"/>
        <v>0</v>
      </c>
      <c r="I25" s="430">
        <f t="shared" si="5"/>
        <v>0</v>
      </c>
      <c r="J25" s="427">
        <f>'[1]5A6_Thrive'!$H25</f>
        <v>0</v>
      </c>
      <c r="K25" s="430">
        <f t="shared" si="6"/>
        <v>0</v>
      </c>
      <c r="L25" s="427"/>
      <c r="M25" s="427">
        <f t="shared" si="7"/>
        <v>0</v>
      </c>
      <c r="N25" s="430">
        <f t="shared" si="2"/>
        <v>0</v>
      </c>
      <c r="O25" s="430">
        <f t="shared" si="3"/>
        <v>0</v>
      </c>
    </row>
    <row r="26" spans="1:15" ht="15.6" customHeight="1" x14ac:dyDescent="0.2">
      <c r="A26" s="434">
        <v>20</v>
      </c>
      <c r="B26" s="435" t="s">
        <v>150</v>
      </c>
      <c r="C26" s="485">
        <f>'8_2.1.21 SIS'!BH26</f>
        <v>0</v>
      </c>
      <c r="D26" s="437">
        <f>'9_Per Pupil Summary'!S25</f>
        <v>9440.8496085538245</v>
      </c>
      <c r="E26" s="437">
        <f t="shared" si="4"/>
        <v>0</v>
      </c>
      <c r="F26" s="437"/>
      <c r="G26" s="437"/>
      <c r="H26" s="441">
        <f t="shared" si="1"/>
        <v>0</v>
      </c>
      <c r="I26" s="440">
        <f t="shared" si="5"/>
        <v>0</v>
      </c>
      <c r="J26" s="437">
        <f>'[1]5A6_Thrive'!$H26</f>
        <v>0</v>
      </c>
      <c r="K26" s="440">
        <f t="shared" si="6"/>
        <v>0</v>
      </c>
      <c r="L26" s="443"/>
      <c r="M26" s="437">
        <f t="shared" si="7"/>
        <v>0</v>
      </c>
      <c r="N26" s="444">
        <f t="shared" si="2"/>
        <v>0</v>
      </c>
      <c r="O26" s="440">
        <f t="shared" si="3"/>
        <v>0</v>
      </c>
    </row>
    <row r="27" spans="1:15" ht="15.6" customHeight="1" x14ac:dyDescent="0.2">
      <c r="A27" s="547">
        <v>21</v>
      </c>
      <c r="B27" s="548" t="s">
        <v>151</v>
      </c>
      <c r="C27" s="549">
        <f>'8_2.1.21 SIS'!BH27</f>
        <v>0</v>
      </c>
      <c r="D27" s="550">
        <f>'9_Per Pupil Summary'!S26</f>
        <v>10076.676877470356</v>
      </c>
      <c r="E27" s="550">
        <f t="shared" si="4"/>
        <v>0</v>
      </c>
      <c r="F27" s="550"/>
      <c r="G27" s="550"/>
      <c r="H27" s="551">
        <f t="shared" si="1"/>
        <v>0</v>
      </c>
      <c r="I27" s="552">
        <f t="shared" si="5"/>
        <v>0</v>
      </c>
      <c r="J27" s="550">
        <f>'[1]5A6_Thrive'!$H27</f>
        <v>0</v>
      </c>
      <c r="K27" s="552">
        <f t="shared" si="6"/>
        <v>0</v>
      </c>
      <c r="L27" s="550"/>
      <c r="M27" s="550">
        <f t="shared" si="7"/>
        <v>0</v>
      </c>
      <c r="N27" s="552">
        <f t="shared" si="2"/>
        <v>0</v>
      </c>
      <c r="O27" s="553">
        <f t="shared" si="3"/>
        <v>0</v>
      </c>
    </row>
    <row r="28" spans="1:15" ht="15.6" customHeight="1" x14ac:dyDescent="0.2">
      <c r="A28" s="424">
        <v>22</v>
      </c>
      <c r="B28" s="425" t="s">
        <v>152</v>
      </c>
      <c r="C28" s="554">
        <f>'8_2.1.21 SIS'!BH28</f>
        <v>0</v>
      </c>
      <c r="D28" s="427">
        <f>'9_Per Pupil Summary'!S27</f>
        <v>10046.936225680933</v>
      </c>
      <c r="E28" s="427">
        <f t="shared" si="4"/>
        <v>0</v>
      </c>
      <c r="F28" s="427"/>
      <c r="G28" s="427"/>
      <c r="H28" s="431">
        <f t="shared" si="1"/>
        <v>0</v>
      </c>
      <c r="I28" s="430">
        <f t="shared" si="5"/>
        <v>0</v>
      </c>
      <c r="J28" s="427">
        <f>'[1]5A6_Thrive'!$H28</f>
        <v>0</v>
      </c>
      <c r="K28" s="430">
        <f t="shared" si="6"/>
        <v>0</v>
      </c>
      <c r="L28" s="427"/>
      <c r="M28" s="427">
        <f t="shared" si="7"/>
        <v>0</v>
      </c>
      <c r="N28" s="430">
        <f t="shared" si="2"/>
        <v>0</v>
      </c>
      <c r="O28" s="430">
        <f t="shared" si="3"/>
        <v>0</v>
      </c>
    </row>
    <row r="29" spans="1:15" ht="15.6" customHeight="1" x14ac:dyDescent="0.2">
      <c r="A29" s="424">
        <v>23</v>
      </c>
      <c r="B29" s="425" t="s">
        <v>153</v>
      </c>
      <c r="C29" s="554">
        <f>'8_2.1.21 SIS'!BH29</f>
        <v>0</v>
      </c>
      <c r="D29" s="427">
        <f>'9_Per Pupil Summary'!S28</f>
        <v>9609.2676525901861</v>
      </c>
      <c r="E29" s="427">
        <f t="shared" si="4"/>
        <v>0</v>
      </c>
      <c r="F29" s="427"/>
      <c r="G29" s="427"/>
      <c r="H29" s="431">
        <f t="shared" si="1"/>
        <v>0</v>
      </c>
      <c r="I29" s="430">
        <f t="shared" si="5"/>
        <v>0</v>
      </c>
      <c r="J29" s="427">
        <f>'[1]5A6_Thrive'!$H29</f>
        <v>0</v>
      </c>
      <c r="K29" s="430">
        <f t="shared" si="6"/>
        <v>0</v>
      </c>
      <c r="L29" s="427"/>
      <c r="M29" s="427">
        <f t="shared" si="7"/>
        <v>0</v>
      </c>
      <c r="N29" s="430">
        <f t="shared" si="2"/>
        <v>0</v>
      </c>
      <c r="O29" s="430">
        <f t="shared" si="3"/>
        <v>0</v>
      </c>
    </row>
    <row r="30" spans="1:15" ht="15.6" customHeight="1" x14ac:dyDescent="0.2">
      <c r="A30" s="424">
        <v>24</v>
      </c>
      <c r="B30" s="425" t="s">
        <v>154</v>
      </c>
      <c r="C30" s="554">
        <f>'8_2.1.21 SIS'!BH30</f>
        <v>1</v>
      </c>
      <c r="D30" s="427">
        <f>'9_Per Pupil Summary'!S29</f>
        <v>9353.5173744619806</v>
      </c>
      <c r="E30" s="427">
        <f t="shared" si="4"/>
        <v>9354</v>
      </c>
      <c r="F30" s="427"/>
      <c r="G30" s="427"/>
      <c r="H30" s="431">
        <f t="shared" si="1"/>
        <v>0</v>
      </c>
      <c r="I30" s="430">
        <f t="shared" si="5"/>
        <v>9354</v>
      </c>
      <c r="J30" s="427">
        <f>'[1]5A6_Thrive'!$H30</f>
        <v>0</v>
      </c>
      <c r="K30" s="430">
        <f t="shared" si="6"/>
        <v>9354</v>
      </c>
      <c r="L30" s="427"/>
      <c r="M30" s="427">
        <f t="shared" si="7"/>
        <v>9354</v>
      </c>
      <c r="N30" s="430">
        <f t="shared" si="2"/>
        <v>780</v>
      </c>
      <c r="O30" s="430">
        <f t="shared" si="3"/>
        <v>9354</v>
      </c>
    </row>
    <row r="31" spans="1:15" ht="15.6" customHeight="1" x14ac:dyDescent="0.2">
      <c r="A31" s="434">
        <v>25</v>
      </c>
      <c r="B31" s="435" t="s">
        <v>155</v>
      </c>
      <c r="C31" s="485">
        <f>'8_2.1.21 SIS'!BH31</f>
        <v>0</v>
      </c>
      <c r="D31" s="437">
        <f>'9_Per Pupil Summary'!S30</f>
        <v>9970.9650491343</v>
      </c>
      <c r="E31" s="437">
        <f t="shared" si="4"/>
        <v>0</v>
      </c>
      <c r="F31" s="437"/>
      <c r="G31" s="437"/>
      <c r="H31" s="441">
        <f t="shared" si="1"/>
        <v>0</v>
      </c>
      <c r="I31" s="440">
        <f t="shared" si="5"/>
        <v>0</v>
      </c>
      <c r="J31" s="437">
        <f>'[1]5A6_Thrive'!$H31</f>
        <v>0</v>
      </c>
      <c r="K31" s="440">
        <f t="shared" si="6"/>
        <v>0</v>
      </c>
      <c r="L31" s="443"/>
      <c r="M31" s="437">
        <f t="shared" si="7"/>
        <v>0</v>
      </c>
      <c r="N31" s="444">
        <f t="shared" si="2"/>
        <v>0</v>
      </c>
      <c r="O31" s="440">
        <f t="shared" si="3"/>
        <v>0</v>
      </c>
    </row>
    <row r="32" spans="1:15" ht="15.6" customHeight="1" x14ac:dyDescent="0.2">
      <c r="A32" s="547">
        <v>26</v>
      </c>
      <c r="B32" s="548" t="s">
        <v>156</v>
      </c>
      <c r="C32" s="549">
        <f>'8_2.1.21 SIS'!BH32</f>
        <v>0</v>
      </c>
      <c r="D32" s="550">
        <f>'9_Per Pupil Summary'!S31</f>
        <v>9442.5982912636937</v>
      </c>
      <c r="E32" s="550">
        <f t="shared" si="4"/>
        <v>0</v>
      </c>
      <c r="F32" s="550"/>
      <c r="G32" s="550"/>
      <c r="H32" s="551">
        <f t="shared" si="1"/>
        <v>0</v>
      </c>
      <c r="I32" s="552">
        <f t="shared" si="5"/>
        <v>0</v>
      </c>
      <c r="J32" s="550">
        <f>'[1]5A6_Thrive'!$H32</f>
        <v>0</v>
      </c>
      <c r="K32" s="552">
        <f t="shared" si="6"/>
        <v>0</v>
      </c>
      <c r="L32" s="550"/>
      <c r="M32" s="550">
        <f t="shared" si="7"/>
        <v>0</v>
      </c>
      <c r="N32" s="552">
        <f t="shared" si="2"/>
        <v>0</v>
      </c>
      <c r="O32" s="553">
        <f t="shared" si="3"/>
        <v>0</v>
      </c>
    </row>
    <row r="33" spans="1:15" ht="15.6" customHeight="1" x14ac:dyDescent="0.2">
      <c r="A33" s="424">
        <v>27</v>
      </c>
      <c r="B33" s="425" t="s">
        <v>157</v>
      </c>
      <c r="C33" s="554">
        <f>'8_2.1.21 SIS'!BH33</f>
        <v>0</v>
      </c>
      <c r="D33" s="427">
        <f>'9_Per Pupil Summary'!S32</f>
        <v>10120.503559636432</v>
      </c>
      <c r="E33" s="427">
        <f t="shared" si="4"/>
        <v>0</v>
      </c>
      <c r="F33" s="427"/>
      <c r="G33" s="427"/>
      <c r="H33" s="431">
        <f t="shared" si="1"/>
        <v>0</v>
      </c>
      <c r="I33" s="430">
        <f t="shared" si="5"/>
        <v>0</v>
      </c>
      <c r="J33" s="427">
        <f>'[1]5A6_Thrive'!$H33</f>
        <v>0</v>
      </c>
      <c r="K33" s="430">
        <f t="shared" si="6"/>
        <v>0</v>
      </c>
      <c r="L33" s="427"/>
      <c r="M33" s="427">
        <f t="shared" si="7"/>
        <v>0</v>
      </c>
      <c r="N33" s="430">
        <f t="shared" si="2"/>
        <v>0</v>
      </c>
      <c r="O33" s="430">
        <f t="shared" si="3"/>
        <v>0</v>
      </c>
    </row>
    <row r="34" spans="1:15" ht="15.6" customHeight="1" x14ac:dyDescent="0.2">
      <c r="A34" s="424">
        <v>28</v>
      </c>
      <c r="B34" s="425" t="s">
        <v>158</v>
      </c>
      <c r="C34" s="554">
        <f>'8_2.1.21 SIS'!BH34</f>
        <v>1</v>
      </c>
      <c r="D34" s="427">
        <f>'9_Per Pupil Summary'!S33</f>
        <v>8639.8320657906497</v>
      </c>
      <c r="E34" s="427">
        <f t="shared" si="4"/>
        <v>8640</v>
      </c>
      <c r="F34" s="427"/>
      <c r="G34" s="427"/>
      <c r="H34" s="431">
        <f t="shared" si="1"/>
        <v>0</v>
      </c>
      <c r="I34" s="430">
        <f t="shared" si="5"/>
        <v>8640</v>
      </c>
      <c r="J34" s="427">
        <f>'[1]5A6_Thrive'!$H34</f>
        <v>0</v>
      </c>
      <c r="K34" s="430">
        <f t="shared" si="6"/>
        <v>8640</v>
      </c>
      <c r="L34" s="427"/>
      <c r="M34" s="427">
        <f t="shared" si="7"/>
        <v>8640</v>
      </c>
      <c r="N34" s="430">
        <f t="shared" si="2"/>
        <v>720</v>
      </c>
      <c r="O34" s="430">
        <f t="shared" si="3"/>
        <v>8640</v>
      </c>
    </row>
    <row r="35" spans="1:15" ht="15.6" customHeight="1" x14ac:dyDescent="0.2">
      <c r="A35" s="424">
        <v>29</v>
      </c>
      <c r="B35" s="425" t="s">
        <v>159</v>
      </c>
      <c r="C35" s="554">
        <f>'8_2.1.21 SIS'!BH35</f>
        <v>0</v>
      </c>
      <c r="D35" s="427">
        <f>'9_Per Pupil Summary'!S34</f>
        <v>8903.7948520920945</v>
      </c>
      <c r="E35" s="427">
        <f t="shared" si="4"/>
        <v>0</v>
      </c>
      <c r="F35" s="427"/>
      <c r="G35" s="427"/>
      <c r="H35" s="431">
        <f t="shared" si="1"/>
        <v>0</v>
      </c>
      <c r="I35" s="430">
        <f t="shared" si="5"/>
        <v>0</v>
      </c>
      <c r="J35" s="427">
        <f>'[1]5A6_Thrive'!$H35</f>
        <v>0</v>
      </c>
      <c r="K35" s="430">
        <f t="shared" si="6"/>
        <v>0</v>
      </c>
      <c r="L35" s="427"/>
      <c r="M35" s="427">
        <f t="shared" si="7"/>
        <v>0</v>
      </c>
      <c r="N35" s="430">
        <f t="shared" si="2"/>
        <v>0</v>
      </c>
      <c r="O35" s="430">
        <f t="shared" si="3"/>
        <v>0</v>
      </c>
    </row>
    <row r="36" spans="1:15" ht="15.6" customHeight="1" x14ac:dyDescent="0.2">
      <c r="A36" s="434">
        <v>30</v>
      </c>
      <c r="B36" s="435" t="s">
        <v>160</v>
      </c>
      <c r="C36" s="485">
        <f>'8_2.1.21 SIS'!BH36</f>
        <v>0</v>
      </c>
      <c r="D36" s="437">
        <f>'9_Per Pupil Summary'!S35</f>
        <v>10156.06742411813</v>
      </c>
      <c r="E36" s="437">
        <f t="shared" si="4"/>
        <v>0</v>
      </c>
      <c r="F36" s="437"/>
      <c r="G36" s="437"/>
      <c r="H36" s="441">
        <f t="shared" si="1"/>
        <v>0</v>
      </c>
      <c r="I36" s="440">
        <f t="shared" si="5"/>
        <v>0</v>
      </c>
      <c r="J36" s="437">
        <f>'[1]5A6_Thrive'!$H36</f>
        <v>0</v>
      </c>
      <c r="K36" s="440">
        <f t="shared" si="6"/>
        <v>0</v>
      </c>
      <c r="L36" s="443"/>
      <c r="M36" s="437">
        <f t="shared" si="7"/>
        <v>0</v>
      </c>
      <c r="N36" s="444">
        <f t="shared" si="2"/>
        <v>0</v>
      </c>
      <c r="O36" s="440">
        <f t="shared" si="3"/>
        <v>0</v>
      </c>
    </row>
    <row r="37" spans="1:15" ht="15.6" customHeight="1" x14ac:dyDescent="0.2">
      <c r="A37" s="547">
        <v>31</v>
      </c>
      <c r="B37" s="548" t="s">
        <v>161</v>
      </c>
      <c r="C37" s="549">
        <f>'8_2.1.21 SIS'!BH37</f>
        <v>0</v>
      </c>
      <c r="D37" s="550">
        <f>'9_Per Pupil Summary'!S36</f>
        <v>9660.7198193760269</v>
      </c>
      <c r="E37" s="550">
        <f t="shared" si="4"/>
        <v>0</v>
      </c>
      <c r="F37" s="550"/>
      <c r="G37" s="550"/>
      <c r="H37" s="551">
        <f t="shared" si="1"/>
        <v>0</v>
      </c>
      <c r="I37" s="552">
        <f t="shared" si="5"/>
        <v>0</v>
      </c>
      <c r="J37" s="550">
        <f>'[1]5A6_Thrive'!$H37</f>
        <v>0</v>
      </c>
      <c r="K37" s="552">
        <f t="shared" si="6"/>
        <v>0</v>
      </c>
      <c r="L37" s="550"/>
      <c r="M37" s="550">
        <f t="shared" si="7"/>
        <v>0</v>
      </c>
      <c r="N37" s="552">
        <f t="shared" si="2"/>
        <v>0</v>
      </c>
      <c r="O37" s="553">
        <f t="shared" si="3"/>
        <v>0</v>
      </c>
    </row>
    <row r="38" spans="1:15" ht="15.6" customHeight="1" x14ac:dyDescent="0.2">
      <c r="A38" s="424">
        <v>32</v>
      </c>
      <c r="B38" s="425" t="s">
        <v>162</v>
      </c>
      <c r="C38" s="554">
        <f>'8_2.1.21 SIS'!BH38</f>
        <v>0</v>
      </c>
      <c r="D38" s="427">
        <f>'9_Per Pupil Summary'!S37</f>
        <v>9496.9261784675073</v>
      </c>
      <c r="E38" s="427">
        <f t="shared" si="4"/>
        <v>0</v>
      </c>
      <c r="F38" s="427"/>
      <c r="G38" s="427"/>
      <c r="H38" s="431">
        <f t="shared" si="1"/>
        <v>0</v>
      </c>
      <c r="I38" s="430">
        <f t="shared" si="5"/>
        <v>0</v>
      </c>
      <c r="J38" s="427">
        <f>'[1]5A6_Thrive'!$H38</f>
        <v>0</v>
      </c>
      <c r="K38" s="430">
        <f t="shared" si="6"/>
        <v>0</v>
      </c>
      <c r="L38" s="427"/>
      <c r="M38" s="427">
        <f t="shared" si="7"/>
        <v>0</v>
      </c>
      <c r="N38" s="430">
        <f t="shared" si="2"/>
        <v>0</v>
      </c>
      <c r="O38" s="430">
        <f t="shared" si="3"/>
        <v>0</v>
      </c>
    </row>
    <row r="39" spans="1:15" ht="15.6" customHeight="1" x14ac:dyDescent="0.2">
      <c r="A39" s="424">
        <v>33</v>
      </c>
      <c r="B39" s="425" t="s">
        <v>163</v>
      </c>
      <c r="C39" s="554">
        <f>'8_2.1.21 SIS'!BH39</f>
        <v>0</v>
      </c>
      <c r="D39" s="427">
        <f>'9_Per Pupil Summary'!S38</f>
        <v>10861.667897091724</v>
      </c>
      <c r="E39" s="427">
        <f t="shared" si="4"/>
        <v>0</v>
      </c>
      <c r="F39" s="427"/>
      <c r="G39" s="427"/>
      <c r="H39" s="431">
        <f t="shared" si="1"/>
        <v>0</v>
      </c>
      <c r="I39" s="430">
        <f t="shared" si="5"/>
        <v>0</v>
      </c>
      <c r="J39" s="427">
        <f>'[1]5A6_Thrive'!$H39</f>
        <v>0</v>
      </c>
      <c r="K39" s="430">
        <f t="shared" si="6"/>
        <v>0</v>
      </c>
      <c r="L39" s="427"/>
      <c r="M39" s="427">
        <f t="shared" si="7"/>
        <v>0</v>
      </c>
      <c r="N39" s="430">
        <f t="shared" si="2"/>
        <v>0</v>
      </c>
      <c r="O39" s="430">
        <f t="shared" si="3"/>
        <v>0</v>
      </c>
    </row>
    <row r="40" spans="1:15" ht="15.6" customHeight="1" x14ac:dyDescent="0.2">
      <c r="A40" s="424">
        <v>34</v>
      </c>
      <c r="B40" s="425" t="s">
        <v>164</v>
      </c>
      <c r="C40" s="554">
        <f>'8_2.1.21 SIS'!BH40</f>
        <v>1</v>
      </c>
      <c r="D40" s="427">
        <f>'9_Per Pupil Summary'!S39</f>
        <v>10761.851322561341</v>
      </c>
      <c r="E40" s="427">
        <f t="shared" si="4"/>
        <v>10762</v>
      </c>
      <c r="F40" s="427"/>
      <c r="G40" s="427"/>
      <c r="H40" s="431">
        <f t="shared" si="1"/>
        <v>0</v>
      </c>
      <c r="I40" s="430">
        <f t="shared" si="5"/>
        <v>10762</v>
      </c>
      <c r="J40" s="427">
        <f>'[1]5A6_Thrive'!$H40</f>
        <v>0</v>
      </c>
      <c r="K40" s="430">
        <f t="shared" si="6"/>
        <v>10762</v>
      </c>
      <c r="L40" s="427"/>
      <c r="M40" s="427">
        <f t="shared" si="7"/>
        <v>10762</v>
      </c>
      <c r="N40" s="430">
        <f t="shared" si="2"/>
        <v>897</v>
      </c>
      <c r="O40" s="430">
        <f t="shared" si="3"/>
        <v>10762</v>
      </c>
    </row>
    <row r="41" spans="1:15" ht="15.6" customHeight="1" x14ac:dyDescent="0.2">
      <c r="A41" s="434">
        <v>35</v>
      </c>
      <c r="B41" s="435" t="s">
        <v>165</v>
      </c>
      <c r="C41" s="485">
        <f>'8_2.1.21 SIS'!BH41</f>
        <v>0</v>
      </c>
      <c r="D41" s="437">
        <f>'9_Per Pupil Summary'!S40</f>
        <v>9499.745693160814</v>
      </c>
      <c r="E41" s="437">
        <f t="shared" si="4"/>
        <v>0</v>
      </c>
      <c r="F41" s="437"/>
      <c r="G41" s="437"/>
      <c r="H41" s="441">
        <f t="shared" si="1"/>
        <v>0</v>
      </c>
      <c r="I41" s="440">
        <f t="shared" si="5"/>
        <v>0</v>
      </c>
      <c r="J41" s="437">
        <f>'[1]5A6_Thrive'!$H41</f>
        <v>0</v>
      </c>
      <c r="K41" s="440">
        <f t="shared" si="6"/>
        <v>0</v>
      </c>
      <c r="L41" s="443"/>
      <c r="M41" s="437">
        <f t="shared" si="7"/>
        <v>0</v>
      </c>
      <c r="N41" s="444">
        <f t="shared" si="2"/>
        <v>0</v>
      </c>
      <c r="O41" s="440">
        <f t="shared" si="3"/>
        <v>0</v>
      </c>
    </row>
    <row r="42" spans="1:15" ht="15.6" customHeight="1" x14ac:dyDescent="0.2">
      <c r="A42" s="547">
        <v>36</v>
      </c>
      <c r="B42" s="548" t="s">
        <v>166</v>
      </c>
      <c r="C42" s="549">
        <f>'8_2.1.21 SIS'!BH42</f>
        <v>0</v>
      </c>
      <c r="D42" s="550">
        <f>'9_Per Pupil Summary'!S41</f>
        <v>9206.5862800875275</v>
      </c>
      <c r="E42" s="550">
        <f t="shared" si="4"/>
        <v>0</v>
      </c>
      <c r="F42" s="550"/>
      <c r="G42" s="550"/>
      <c r="H42" s="551">
        <f t="shared" si="1"/>
        <v>0</v>
      </c>
      <c r="I42" s="552">
        <f t="shared" si="5"/>
        <v>0</v>
      </c>
      <c r="J42" s="550">
        <f>'[1]5A6_Thrive'!$H42</f>
        <v>0</v>
      </c>
      <c r="K42" s="552">
        <f t="shared" si="6"/>
        <v>0</v>
      </c>
      <c r="L42" s="550"/>
      <c r="M42" s="550">
        <f t="shared" si="7"/>
        <v>0</v>
      </c>
      <c r="N42" s="552">
        <f t="shared" si="2"/>
        <v>0</v>
      </c>
      <c r="O42" s="553">
        <f t="shared" si="3"/>
        <v>0</v>
      </c>
    </row>
    <row r="43" spans="1:15" ht="15.6" customHeight="1" x14ac:dyDescent="0.2">
      <c r="A43" s="424">
        <v>37</v>
      </c>
      <c r="B43" s="425" t="s">
        <v>167</v>
      </c>
      <c r="C43" s="554">
        <f>'8_2.1.21 SIS'!BH43</f>
        <v>0</v>
      </c>
      <c r="D43" s="427">
        <f>'9_Per Pupil Summary'!S42</f>
        <v>9612.3900772200759</v>
      </c>
      <c r="E43" s="427">
        <f t="shared" si="4"/>
        <v>0</v>
      </c>
      <c r="F43" s="427"/>
      <c r="G43" s="427"/>
      <c r="H43" s="431">
        <f t="shared" si="1"/>
        <v>0</v>
      </c>
      <c r="I43" s="430">
        <f t="shared" si="5"/>
        <v>0</v>
      </c>
      <c r="J43" s="427">
        <f>'[1]5A6_Thrive'!$H43</f>
        <v>0</v>
      </c>
      <c r="K43" s="430">
        <f t="shared" si="6"/>
        <v>0</v>
      </c>
      <c r="L43" s="427"/>
      <c r="M43" s="427">
        <f t="shared" si="7"/>
        <v>0</v>
      </c>
      <c r="N43" s="430">
        <f t="shared" si="2"/>
        <v>0</v>
      </c>
      <c r="O43" s="430">
        <f t="shared" si="3"/>
        <v>0</v>
      </c>
    </row>
    <row r="44" spans="1:15" ht="15.6" customHeight="1" x14ac:dyDescent="0.2">
      <c r="A44" s="424">
        <v>38</v>
      </c>
      <c r="B44" s="425" t="s">
        <v>168</v>
      </c>
      <c r="C44" s="554">
        <f>'8_2.1.21 SIS'!BH44</f>
        <v>0</v>
      </c>
      <c r="D44" s="427">
        <f>'9_Per Pupil Summary'!S43</f>
        <v>9603.6661481870724</v>
      </c>
      <c r="E44" s="427">
        <f t="shared" si="4"/>
        <v>0</v>
      </c>
      <c r="F44" s="427"/>
      <c r="G44" s="427"/>
      <c r="H44" s="431">
        <f t="shared" si="1"/>
        <v>0</v>
      </c>
      <c r="I44" s="430">
        <f t="shared" si="5"/>
        <v>0</v>
      </c>
      <c r="J44" s="427">
        <f>'[1]5A6_Thrive'!$H44</f>
        <v>0</v>
      </c>
      <c r="K44" s="430">
        <f t="shared" si="6"/>
        <v>0</v>
      </c>
      <c r="L44" s="427"/>
      <c r="M44" s="427">
        <f t="shared" si="7"/>
        <v>0</v>
      </c>
      <c r="N44" s="430">
        <f t="shared" si="2"/>
        <v>0</v>
      </c>
      <c r="O44" s="430">
        <f t="shared" si="3"/>
        <v>0</v>
      </c>
    </row>
    <row r="45" spans="1:15" ht="15.6" customHeight="1" x14ac:dyDescent="0.2">
      <c r="A45" s="424">
        <v>39</v>
      </c>
      <c r="B45" s="425" t="s">
        <v>169</v>
      </c>
      <c r="C45" s="554">
        <f>'8_2.1.21 SIS'!BH45</f>
        <v>4</v>
      </c>
      <c r="D45" s="427">
        <f>'9_Per Pupil Summary'!S44</f>
        <v>9816.4488455538212</v>
      </c>
      <c r="E45" s="427">
        <f t="shared" si="4"/>
        <v>39266</v>
      </c>
      <c r="F45" s="427"/>
      <c r="G45" s="427"/>
      <c r="H45" s="431">
        <f t="shared" si="1"/>
        <v>0</v>
      </c>
      <c r="I45" s="430">
        <f t="shared" si="5"/>
        <v>39266</v>
      </c>
      <c r="J45" s="427">
        <f>'[1]5A6_Thrive'!$H45</f>
        <v>0</v>
      </c>
      <c r="K45" s="430">
        <f t="shared" si="6"/>
        <v>39266</v>
      </c>
      <c r="L45" s="427"/>
      <c r="M45" s="427">
        <f t="shared" si="7"/>
        <v>39266</v>
      </c>
      <c r="N45" s="430">
        <f t="shared" si="2"/>
        <v>3272</v>
      </c>
      <c r="O45" s="430">
        <f t="shared" si="3"/>
        <v>39266</v>
      </c>
    </row>
    <row r="46" spans="1:15" ht="15.6" customHeight="1" x14ac:dyDescent="0.2">
      <c r="A46" s="434">
        <v>40</v>
      </c>
      <c r="B46" s="435" t="s">
        <v>170</v>
      </c>
      <c r="C46" s="485">
        <f>'8_2.1.21 SIS'!BH46</f>
        <v>0</v>
      </c>
      <c r="D46" s="437">
        <f>'9_Per Pupil Summary'!S45</f>
        <v>9567.9124528125139</v>
      </c>
      <c r="E46" s="437">
        <f t="shared" si="4"/>
        <v>0</v>
      </c>
      <c r="F46" s="437"/>
      <c r="G46" s="437"/>
      <c r="H46" s="441">
        <f t="shared" si="1"/>
        <v>0</v>
      </c>
      <c r="I46" s="440">
        <f t="shared" si="5"/>
        <v>0</v>
      </c>
      <c r="J46" s="437">
        <f>'[1]5A6_Thrive'!$H46</f>
        <v>0</v>
      </c>
      <c r="K46" s="440">
        <f t="shared" si="6"/>
        <v>0</v>
      </c>
      <c r="L46" s="443"/>
      <c r="M46" s="437">
        <f t="shared" si="7"/>
        <v>0</v>
      </c>
      <c r="N46" s="444">
        <f t="shared" si="2"/>
        <v>0</v>
      </c>
      <c r="O46" s="440">
        <f t="shared" si="3"/>
        <v>0</v>
      </c>
    </row>
    <row r="47" spans="1:15" ht="15.6" customHeight="1" x14ac:dyDescent="0.2">
      <c r="A47" s="547">
        <v>41</v>
      </c>
      <c r="B47" s="548" t="s">
        <v>171</v>
      </c>
      <c r="C47" s="549">
        <f>'8_2.1.21 SIS'!BH47</f>
        <v>0</v>
      </c>
      <c r="D47" s="550">
        <f>'9_Per Pupil Summary'!S46</f>
        <v>9636.8193825180424</v>
      </c>
      <c r="E47" s="550">
        <f t="shared" si="4"/>
        <v>0</v>
      </c>
      <c r="F47" s="550"/>
      <c r="G47" s="550"/>
      <c r="H47" s="551">
        <f t="shared" si="1"/>
        <v>0</v>
      </c>
      <c r="I47" s="552">
        <f t="shared" si="5"/>
        <v>0</v>
      </c>
      <c r="J47" s="550">
        <f>'[1]5A6_Thrive'!$H47</f>
        <v>0</v>
      </c>
      <c r="K47" s="552">
        <f t="shared" si="6"/>
        <v>0</v>
      </c>
      <c r="L47" s="550"/>
      <c r="M47" s="550">
        <f t="shared" si="7"/>
        <v>0</v>
      </c>
      <c r="N47" s="552">
        <f t="shared" si="2"/>
        <v>0</v>
      </c>
      <c r="O47" s="553">
        <f t="shared" si="3"/>
        <v>0</v>
      </c>
    </row>
    <row r="48" spans="1:15" ht="15.6" customHeight="1" x14ac:dyDescent="0.2">
      <c r="A48" s="424">
        <v>42</v>
      </c>
      <c r="B48" s="425" t="s">
        <v>172</v>
      </c>
      <c r="C48" s="554">
        <f>'8_2.1.21 SIS'!BH48</f>
        <v>0</v>
      </c>
      <c r="D48" s="427">
        <f>'9_Per Pupil Summary'!S47</f>
        <v>10077.097050092765</v>
      </c>
      <c r="E48" s="427">
        <f t="shared" si="4"/>
        <v>0</v>
      </c>
      <c r="F48" s="427"/>
      <c r="G48" s="427"/>
      <c r="H48" s="431">
        <f t="shared" si="1"/>
        <v>0</v>
      </c>
      <c r="I48" s="430">
        <f t="shared" si="5"/>
        <v>0</v>
      </c>
      <c r="J48" s="427">
        <f>'[1]5A6_Thrive'!$H48</f>
        <v>0</v>
      </c>
      <c r="K48" s="430">
        <f t="shared" si="6"/>
        <v>0</v>
      </c>
      <c r="L48" s="427"/>
      <c r="M48" s="427">
        <f t="shared" si="7"/>
        <v>0</v>
      </c>
      <c r="N48" s="430">
        <f t="shared" si="2"/>
        <v>0</v>
      </c>
      <c r="O48" s="430">
        <f t="shared" si="3"/>
        <v>0</v>
      </c>
    </row>
    <row r="49" spans="1:15" ht="15.6" customHeight="1" x14ac:dyDescent="0.2">
      <c r="A49" s="424">
        <v>43</v>
      </c>
      <c r="B49" s="425" t="s">
        <v>173</v>
      </c>
      <c r="C49" s="554">
        <f>'8_2.1.21 SIS'!BH49</f>
        <v>0</v>
      </c>
      <c r="D49" s="427">
        <f>'9_Per Pupil Summary'!S48</f>
        <v>9982.799959370237</v>
      </c>
      <c r="E49" s="427">
        <f t="shared" si="4"/>
        <v>0</v>
      </c>
      <c r="F49" s="427"/>
      <c r="G49" s="427"/>
      <c r="H49" s="431">
        <f t="shared" si="1"/>
        <v>0</v>
      </c>
      <c r="I49" s="430">
        <f t="shared" si="5"/>
        <v>0</v>
      </c>
      <c r="J49" s="427">
        <f>'[1]5A6_Thrive'!$H49</f>
        <v>0</v>
      </c>
      <c r="K49" s="430">
        <f t="shared" si="6"/>
        <v>0</v>
      </c>
      <c r="L49" s="427"/>
      <c r="M49" s="427">
        <f t="shared" si="7"/>
        <v>0</v>
      </c>
      <c r="N49" s="430">
        <f t="shared" si="2"/>
        <v>0</v>
      </c>
      <c r="O49" s="430">
        <f t="shared" si="3"/>
        <v>0</v>
      </c>
    </row>
    <row r="50" spans="1:15" ht="15.6" customHeight="1" x14ac:dyDescent="0.2">
      <c r="A50" s="424">
        <v>44</v>
      </c>
      <c r="B50" s="425" t="s">
        <v>174</v>
      </c>
      <c r="C50" s="554">
        <f>'8_2.1.21 SIS'!BH50</f>
        <v>1</v>
      </c>
      <c r="D50" s="427">
        <f>'9_Per Pupil Summary'!S49</f>
        <v>9382.1066126695641</v>
      </c>
      <c r="E50" s="427">
        <f t="shared" si="4"/>
        <v>9382</v>
      </c>
      <c r="F50" s="427"/>
      <c r="G50" s="427"/>
      <c r="H50" s="431">
        <f t="shared" si="1"/>
        <v>0</v>
      </c>
      <c r="I50" s="430">
        <f t="shared" si="5"/>
        <v>9382</v>
      </c>
      <c r="J50" s="427">
        <f>'[1]5A6_Thrive'!$H50</f>
        <v>0</v>
      </c>
      <c r="K50" s="430">
        <f t="shared" si="6"/>
        <v>9382</v>
      </c>
      <c r="L50" s="427"/>
      <c r="M50" s="427">
        <f t="shared" si="7"/>
        <v>9382</v>
      </c>
      <c r="N50" s="430">
        <f t="shared" si="2"/>
        <v>782</v>
      </c>
      <c r="O50" s="430">
        <f t="shared" si="3"/>
        <v>9382</v>
      </c>
    </row>
    <row r="51" spans="1:15" ht="15.6" customHeight="1" x14ac:dyDescent="0.2">
      <c r="A51" s="434">
        <v>45</v>
      </c>
      <c r="B51" s="435" t="s">
        <v>175</v>
      </c>
      <c r="C51" s="485">
        <f>'8_2.1.21 SIS'!BH51</f>
        <v>0</v>
      </c>
      <c r="D51" s="437">
        <f>'9_Per Pupil Summary'!S50</f>
        <v>8593.4930751952088</v>
      </c>
      <c r="E51" s="437">
        <f t="shared" si="4"/>
        <v>0</v>
      </c>
      <c r="F51" s="437"/>
      <c r="G51" s="437"/>
      <c r="H51" s="441">
        <f t="shared" si="1"/>
        <v>0</v>
      </c>
      <c r="I51" s="440">
        <f t="shared" si="5"/>
        <v>0</v>
      </c>
      <c r="J51" s="437">
        <f>'[1]5A6_Thrive'!$H51</f>
        <v>0</v>
      </c>
      <c r="K51" s="440">
        <f t="shared" si="6"/>
        <v>0</v>
      </c>
      <c r="L51" s="443"/>
      <c r="M51" s="437">
        <f t="shared" si="7"/>
        <v>0</v>
      </c>
      <c r="N51" s="444">
        <f t="shared" si="2"/>
        <v>0</v>
      </c>
      <c r="O51" s="440">
        <f t="shared" si="3"/>
        <v>0</v>
      </c>
    </row>
    <row r="52" spans="1:15" ht="15.6" customHeight="1" x14ac:dyDescent="0.2">
      <c r="A52" s="547">
        <v>46</v>
      </c>
      <c r="B52" s="548" t="s">
        <v>176</v>
      </c>
      <c r="C52" s="549">
        <f>'8_2.1.21 SIS'!BH52</f>
        <v>0</v>
      </c>
      <c r="D52" s="550">
        <f>'9_Per Pupil Summary'!S51</f>
        <v>11510.272294520548</v>
      </c>
      <c r="E52" s="550">
        <f t="shared" si="4"/>
        <v>0</v>
      </c>
      <c r="F52" s="550"/>
      <c r="G52" s="550"/>
      <c r="H52" s="551">
        <f t="shared" si="1"/>
        <v>0</v>
      </c>
      <c r="I52" s="552">
        <f t="shared" si="5"/>
        <v>0</v>
      </c>
      <c r="J52" s="550">
        <f>'[1]5A6_Thrive'!$H52</f>
        <v>0</v>
      </c>
      <c r="K52" s="552">
        <f t="shared" si="6"/>
        <v>0</v>
      </c>
      <c r="L52" s="550"/>
      <c r="M52" s="550">
        <f t="shared" si="7"/>
        <v>0</v>
      </c>
      <c r="N52" s="552">
        <f t="shared" si="2"/>
        <v>0</v>
      </c>
      <c r="O52" s="553">
        <f t="shared" si="3"/>
        <v>0</v>
      </c>
    </row>
    <row r="53" spans="1:15" ht="15.6" customHeight="1" x14ac:dyDescent="0.2">
      <c r="A53" s="424">
        <v>47</v>
      </c>
      <c r="B53" s="425" t="s">
        <v>177</v>
      </c>
      <c r="C53" s="554">
        <f>'8_2.1.21 SIS'!BH53</f>
        <v>0</v>
      </c>
      <c r="D53" s="427">
        <f>'9_Per Pupil Summary'!S52</f>
        <v>9604.7579024099978</v>
      </c>
      <c r="E53" s="427">
        <f t="shared" si="4"/>
        <v>0</v>
      </c>
      <c r="F53" s="427"/>
      <c r="G53" s="427"/>
      <c r="H53" s="431">
        <f t="shared" si="1"/>
        <v>0</v>
      </c>
      <c r="I53" s="430">
        <f t="shared" si="5"/>
        <v>0</v>
      </c>
      <c r="J53" s="427">
        <f>'[1]5A6_Thrive'!$H53</f>
        <v>0</v>
      </c>
      <c r="K53" s="430">
        <f t="shared" si="6"/>
        <v>0</v>
      </c>
      <c r="L53" s="427"/>
      <c r="M53" s="427">
        <f t="shared" si="7"/>
        <v>0</v>
      </c>
      <c r="N53" s="430">
        <f t="shared" si="2"/>
        <v>0</v>
      </c>
      <c r="O53" s="430">
        <f t="shared" si="3"/>
        <v>0</v>
      </c>
    </row>
    <row r="54" spans="1:15" ht="15.6" customHeight="1" x14ac:dyDescent="0.2">
      <c r="A54" s="424">
        <v>48</v>
      </c>
      <c r="B54" s="425" t="s">
        <v>178</v>
      </c>
      <c r="C54" s="554">
        <f>'8_2.1.21 SIS'!BH54</f>
        <v>0</v>
      </c>
      <c r="D54" s="427">
        <f>'9_Per Pupil Summary'!S53</f>
        <v>9603.1613821138199</v>
      </c>
      <c r="E54" s="427">
        <f t="shared" si="4"/>
        <v>0</v>
      </c>
      <c r="F54" s="427"/>
      <c r="G54" s="427"/>
      <c r="H54" s="431">
        <f t="shared" si="1"/>
        <v>0</v>
      </c>
      <c r="I54" s="430">
        <f t="shared" si="5"/>
        <v>0</v>
      </c>
      <c r="J54" s="427">
        <f>'[1]5A6_Thrive'!$H54</f>
        <v>0</v>
      </c>
      <c r="K54" s="430">
        <f t="shared" si="6"/>
        <v>0</v>
      </c>
      <c r="L54" s="427"/>
      <c r="M54" s="427">
        <f t="shared" si="7"/>
        <v>0</v>
      </c>
      <c r="N54" s="430">
        <f t="shared" si="2"/>
        <v>0</v>
      </c>
      <c r="O54" s="430">
        <f t="shared" si="3"/>
        <v>0</v>
      </c>
    </row>
    <row r="55" spans="1:15" ht="15.6" customHeight="1" x14ac:dyDescent="0.2">
      <c r="A55" s="424">
        <v>49</v>
      </c>
      <c r="B55" s="425" t="s">
        <v>179</v>
      </c>
      <c r="C55" s="554">
        <f>'8_2.1.21 SIS'!BH55</f>
        <v>0</v>
      </c>
      <c r="D55" s="427">
        <f>'9_Per Pupil Summary'!S54</f>
        <v>9046.1366287730307</v>
      </c>
      <c r="E55" s="427">
        <f t="shared" si="4"/>
        <v>0</v>
      </c>
      <c r="F55" s="427"/>
      <c r="G55" s="427"/>
      <c r="H55" s="431">
        <f t="shared" si="1"/>
        <v>0</v>
      </c>
      <c r="I55" s="430">
        <f t="shared" si="5"/>
        <v>0</v>
      </c>
      <c r="J55" s="427">
        <f>'[1]5A6_Thrive'!$H55</f>
        <v>0</v>
      </c>
      <c r="K55" s="430">
        <f t="shared" si="6"/>
        <v>0</v>
      </c>
      <c r="L55" s="427"/>
      <c r="M55" s="427">
        <f t="shared" si="7"/>
        <v>0</v>
      </c>
      <c r="N55" s="430">
        <f t="shared" si="2"/>
        <v>0</v>
      </c>
      <c r="O55" s="430">
        <f t="shared" si="3"/>
        <v>0</v>
      </c>
    </row>
    <row r="56" spans="1:15" ht="15.6" customHeight="1" x14ac:dyDescent="0.2">
      <c r="A56" s="434">
        <v>50</v>
      </c>
      <c r="B56" s="435" t="s">
        <v>180</v>
      </c>
      <c r="C56" s="485">
        <f>'8_2.1.21 SIS'!BH56</f>
        <v>0</v>
      </c>
      <c r="D56" s="437">
        <f>'9_Per Pupil Summary'!S55</f>
        <v>9332.1664789502465</v>
      </c>
      <c r="E56" s="437">
        <f t="shared" si="4"/>
        <v>0</v>
      </c>
      <c r="F56" s="437"/>
      <c r="G56" s="437"/>
      <c r="H56" s="441">
        <f t="shared" si="1"/>
        <v>0</v>
      </c>
      <c r="I56" s="440">
        <f t="shared" si="5"/>
        <v>0</v>
      </c>
      <c r="J56" s="437">
        <f>'[1]5A6_Thrive'!$H56</f>
        <v>0</v>
      </c>
      <c r="K56" s="440">
        <f t="shared" si="6"/>
        <v>0</v>
      </c>
      <c r="L56" s="443"/>
      <c r="M56" s="437">
        <f t="shared" si="7"/>
        <v>0</v>
      </c>
      <c r="N56" s="444">
        <f t="shared" si="2"/>
        <v>0</v>
      </c>
      <c r="O56" s="440">
        <f t="shared" si="3"/>
        <v>0</v>
      </c>
    </row>
    <row r="57" spans="1:15" ht="15.6" customHeight="1" x14ac:dyDescent="0.2">
      <c r="A57" s="547">
        <v>51</v>
      </c>
      <c r="B57" s="548" t="s">
        <v>181</v>
      </c>
      <c r="C57" s="549">
        <f>'8_2.1.21 SIS'!BH57</f>
        <v>0</v>
      </c>
      <c r="D57" s="550">
        <f>'9_Per Pupil Summary'!S56</f>
        <v>9918.815681054537</v>
      </c>
      <c r="E57" s="550">
        <f t="shared" si="4"/>
        <v>0</v>
      </c>
      <c r="F57" s="550"/>
      <c r="G57" s="550"/>
      <c r="H57" s="551">
        <f t="shared" si="1"/>
        <v>0</v>
      </c>
      <c r="I57" s="552">
        <f t="shared" si="5"/>
        <v>0</v>
      </c>
      <c r="J57" s="550">
        <f>'[1]5A6_Thrive'!$H57</f>
        <v>0</v>
      </c>
      <c r="K57" s="552">
        <f t="shared" si="6"/>
        <v>0</v>
      </c>
      <c r="L57" s="550"/>
      <c r="M57" s="550">
        <f t="shared" si="7"/>
        <v>0</v>
      </c>
      <c r="N57" s="552">
        <f t="shared" si="2"/>
        <v>0</v>
      </c>
      <c r="O57" s="553">
        <f t="shared" si="3"/>
        <v>0</v>
      </c>
    </row>
    <row r="58" spans="1:15" ht="15.6" customHeight="1" x14ac:dyDescent="0.2">
      <c r="A58" s="424">
        <v>52</v>
      </c>
      <c r="B58" s="425" t="s">
        <v>182</v>
      </c>
      <c r="C58" s="554">
        <f>'8_2.1.21 SIS'!BH58</f>
        <v>2</v>
      </c>
      <c r="D58" s="427">
        <f>'9_Per Pupil Summary'!S57</f>
        <v>9625.3325549413494</v>
      </c>
      <c r="E58" s="427">
        <f t="shared" si="4"/>
        <v>19251</v>
      </c>
      <c r="F58" s="427"/>
      <c r="G58" s="427"/>
      <c r="H58" s="431">
        <f t="shared" si="1"/>
        <v>0</v>
      </c>
      <c r="I58" s="430">
        <f t="shared" si="5"/>
        <v>19251</v>
      </c>
      <c r="J58" s="427">
        <f>'[1]5A6_Thrive'!$H58</f>
        <v>0</v>
      </c>
      <c r="K58" s="430">
        <f t="shared" si="6"/>
        <v>19251</v>
      </c>
      <c r="L58" s="427"/>
      <c r="M58" s="427">
        <f t="shared" si="7"/>
        <v>19251</v>
      </c>
      <c r="N58" s="430">
        <f t="shared" si="2"/>
        <v>1604</v>
      </c>
      <c r="O58" s="430">
        <f t="shared" si="3"/>
        <v>19251</v>
      </c>
    </row>
    <row r="59" spans="1:15" ht="15.6" customHeight="1" x14ac:dyDescent="0.2">
      <c r="A59" s="424">
        <v>53</v>
      </c>
      <c r="B59" s="425" t="s">
        <v>183</v>
      </c>
      <c r="C59" s="554">
        <f>'8_2.1.21 SIS'!BH59</f>
        <v>3</v>
      </c>
      <c r="D59" s="427">
        <f>'9_Per Pupil Summary'!S58</f>
        <v>9061.4109807208715</v>
      </c>
      <c r="E59" s="427">
        <f t="shared" si="4"/>
        <v>27184</v>
      </c>
      <c r="F59" s="427"/>
      <c r="G59" s="427"/>
      <c r="H59" s="431">
        <f t="shared" si="1"/>
        <v>0</v>
      </c>
      <c r="I59" s="430">
        <f t="shared" si="5"/>
        <v>27184</v>
      </c>
      <c r="J59" s="427">
        <f>'[1]5A6_Thrive'!$H59</f>
        <v>0</v>
      </c>
      <c r="K59" s="430">
        <f t="shared" si="6"/>
        <v>27184</v>
      </c>
      <c r="L59" s="427"/>
      <c r="M59" s="427">
        <f t="shared" si="7"/>
        <v>27184</v>
      </c>
      <c r="N59" s="430">
        <f t="shared" si="2"/>
        <v>2265</v>
      </c>
      <c r="O59" s="430">
        <f t="shared" si="3"/>
        <v>27184</v>
      </c>
    </row>
    <row r="60" spans="1:15" ht="15.6" customHeight="1" x14ac:dyDescent="0.2">
      <c r="A60" s="424">
        <v>54</v>
      </c>
      <c r="B60" s="425" t="s">
        <v>184</v>
      </c>
      <c r="C60" s="554">
        <f>'8_2.1.21 SIS'!BH60</f>
        <v>0</v>
      </c>
      <c r="D60" s="427">
        <f>'9_Per Pupil Summary'!S59</f>
        <v>11158.272928039703</v>
      </c>
      <c r="E60" s="427">
        <f t="shared" si="4"/>
        <v>0</v>
      </c>
      <c r="F60" s="427"/>
      <c r="G60" s="427"/>
      <c r="H60" s="431">
        <f t="shared" si="1"/>
        <v>0</v>
      </c>
      <c r="I60" s="430">
        <f t="shared" si="5"/>
        <v>0</v>
      </c>
      <c r="J60" s="427">
        <f>'[1]5A6_Thrive'!$H60</f>
        <v>0</v>
      </c>
      <c r="K60" s="430">
        <f t="shared" si="6"/>
        <v>0</v>
      </c>
      <c r="L60" s="427"/>
      <c r="M60" s="427">
        <f t="shared" si="7"/>
        <v>0</v>
      </c>
      <c r="N60" s="430">
        <f t="shared" si="2"/>
        <v>0</v>
      </c>
      <c r="O60" s="430">
        <f t="shared" si="3"/>
        <v>0</v>
      </c>
    </row>
    <row r="61" spans="1:15" ht="15.6" customHeight="1" x14ac:dyDescent="0.2">
      <c r="A61" s="434">
        <v>55</v>
      </c>
      <c r="B61" s="435" t="s">
        <v>185</v>
      </c>
      <c r="C61" s="485">
        <f>'8_2.1.21 SIS'!BH61</f>
        <v>0</v>
      </c>
      <c r="D61" s="437">
        <f>'9_Per Pupil Summary'!S60</f>
        <v>9299.6940490572961</v>
      </c>
      <c r="E61" s="437">
        <f t="shared" si="4"/>
        <v>0</v>
      </c>
      <c r="F61" s="437"/>
      <c r="G61" s="437"/>
      <c r="H61" s="441">
        <f t="shared" si="1"/>
        <v>0</v>
      </c>
      <c r="I61" s="440">
        <f t="shared" si="5"/>
        <v>0</v>
      </c>
      <c r="J61" s="437">
        <f>'[1]5A6_Thrive'!$H61</f>
        <v>0</v>
      </c>
      <c r="K61" s="440">
        <f t="shared" si="6"/>
        <v>0</v>
      </c>
      <c r="L61" s="443"/>
      <c r="M61" s="437">
        <f t="shared" si="7"/>
        <v>0</v>
      </c>
      <c r="N61" s="444">
        <f t="shared" si="2"/>
        <v>0</v>
      </c>
      <c r="O61" s="440">
        <f t="shared" si="3"/>
        <v>0</v>
      </c>
    </row>
    <row r="62" spans="1:15" ht="15.6" customHeight="1" x14ac:dyDescent="0.2">
      <c r="A62" s="547">
        <v>56</v>
      </c>
      <c r="B62" s="548" t="s">
        <v>186</v>
      </c>
      <c r="C62" s="549">
        <f>'8_2.1.21 SIS'!BH62</f>
        <v>0</v>
      </c>
      <c r="D62" s="550">
        <f>'9_Per Pupil Summary'!S61</f>
        <v>10237.73950786056</v>
      </c>
      <c r="E62" s="550">
        <f t="shared" si="4"/>
        <v>0</v>
      </c>
      <c r="F62" s="550"/>
      <c r="G62" s="550"/>
      <c r="H62" s="551">
        <f t="shared" si="1"/>
        <v>0</v>
      </c>
      <c r="I62" s="552">
        <f t="shared" si="5"/>
        <v>0</v>
      </c>
      <c r="J62" s="550">
        <f>'[1]5A6_Thrive'!$H62</f>
        <v>0</v>
      </c>
      <c r="K62" s="552">
        <f t="shared" si="6"/>
        <v>0</v>
      </c>
      <c r="L62" s="550"/>
      <c r="M62" s="550">
        <f t="shared" si="7"/>
        <v>0</v>
      </c>
      <c r="N62" s="552">
        <f t="shared" si="2"/>
        <v>0</v>
      </c>
      <c r="O62" s="553">
        <f t="shared" si="3"/>
        <v>0</v>
      </c>
    </row>
    <row r="63" spans="1:15" ht="15.6" customHeight="1" x14ac:dyDescent="0.2">
      <c r="A63" s="424">
        <v>57</v>
      </c>
      <c r="B63" s="425" t="s">
        <v>187</v>
      </c>
      <c r="C63" s="554">
        <f>'8_2.1.21 SIS'!BH63</f>
        <v>0</v>
      </c>
      <c r="D63" s="427">
        <f>'9_Per Pupil Summary'!S62</f>
        <v>8864.8970059235326</v>
      </c>
      <c r="E63" s="427">
        <f t="shared" si="4"/>
        <v>0</v>
      </c>
      <c r="F63" s="427"/>
      <c r="G63" s="427"/>
      <c r="H63" s="431">
        <f t="shared" si="1"/>
        <v>0</v>
      </c>
      <c r="I63" s="430">
        <f t="shared" si="5"/>
        <v>0</v>
      </c>
      <c r="J63" s="427">
        <f>'[1]5A6_Thrive'!$H63</f>
        <v>0</v>
      </c>
      <c r="K63" s="430">
        <f t="shared" si="6"/>
        <v>0</v>
      </c>
      <c r="L63" s="427"/>
      <c r="M63" s="427">
        <f t="shared" si="7"/>
        <v>0</v>
      </c>
      <c r="N63" s="430">
        <f t="shared" si="2"/>
        <v>0</v>
      </c>
      <c r="O63" s="430">
        <f t="shared" si="3"/>
        <v>0</v>
      </c>
    </row>
    <row r="64" spans="1:15" ht="15.6" customHeight="1" x14ac:dyDescent="0.2">
      <c r="A64" s="424">
        <v>58</v>
      </c>
      <c r="B64" s="425" t="s">
        <v>188</v>
      </c>
      <c r="C64" s="554">
        <f>'8_2.1.21 SIS'!BH64</f>
        <v>0</v>
      </c>
      <c r="D64" s="427">
        <f>'9_Per Pupil Summary'!S63</f>
        <v>9714.6091062394607</v>
      </c>
      <c r="E64" s="427">
        <f t="shared" si="4"/>
        <v>0</v>
      </c>
      <c r="F64" s="427"/>
      <c r="G64" s="427"/>
      <c r="H64" s="431">
        <f t="shared" si="1"/>
        <v>0</v>
      </c>
      <c r="I64" s="430">
        <f t="shared" si="5"/>
        <v>0</v>
      </c>
      <c r="J64" s="427">
        <f>'[1]5A6_Thrive'!$H64</f>
        <v>0</v>
      </c>
      <c r="K64" s="430">
        <f t="shared" si="6"/>
        <v>0</v>
      </c>
      <c r="L64" s="427"/>
      <c r="M64" s="427">
        <f t="shared" si="7"/>
        <v>0</v>
      </c>
      <c r="N64" s="430">
        <f t="shared" si="2"/>
        <v>0</v>
      </c>
      <c r="O64" s="430">
        <f t="shared" si="3"/>
        <v>0</v>
      </c>
    </row>
    <row r="65" spans="1:15" ht="15.6" customHeight="1" x14ac:dyDescent="0.2">
      <c r="A65" s="424">
        <v>59</v>
      </c>
      <c r="B65" s="425" t="s">
        <v>189</v>
      </c>
      <c r="C65" s="554">
        <f>'8_2.1.21 SIS'!BH65</f>
        <v>0</v>
      </c>
      <c r="D65" s="427">
        <f>'9_Per Pupil Summary'!S64</f>
        <v>9213.5109958506218</v>
      </c>
      <c r="E65" s="427">
        <f t="shared" si="4"/>
        <v>0</v>
      </c>
      <c r="F65" s="427"/>
      <c r="G65" s="427"/>
      <c r="H65" s="431">
        <f t="shared" si="1"/>
        <v>0</v>
      </c>
      <c r="I65" s="430">
        <f t="shared" si="5"/>
        <v>0</v>
      </c>
      <c r="J65" s="427">
        <f>'[1]5A6_Thrive'!$H65</f>
        <v>0</v>
      </c>
      <c r="K65" s="430">
        <f t="shared" si="6"/>
        <v>0</v>
      </c>
      <c r="L65" s="427"/>
      <c r="M65" s="427">
        <f t="shared" si="7"/>
        <v>0</v>
      </c>
      <c r="N65" s="430">
        <f t="shared" si="2"/>
        <v>0</v>
      </c>
      <c r="O65" s="430">
        <f t="shared" si="3"/>
        <v>0</v>
      </c>
    </row>
    <row r="66" spans="1:15" ht="15.6" customHeight="1" x14ac:dyDescent="0.2">
      <c r="A66" s="434">
        <v>60</v>
      </c>
      <c r="B66" s="435" t="s">
        <v>190</v>
      </c>
      <c r="C66" s="485">
        <f>'8_2.1.21 SIS'!BH66</f>
        <v>0</v>
      </c>
      <c r="D66" s="437">
        <f>'9_Per Pupil Summary'!S65</f>
        <v>10013.000138563973</v>
      </c>
      <c r="E66" s="437">
        <f t="shared" si="4"/>
        <v>0</v>
      </c>
      <c r="F66" s="437"/>
      <c r="G66" s="437"/>
      <c r="H66" s="441">
        <f t="shared" si="1"/>
        <v>0</v>
      </c>
      <c r="I66" s="440">
        <f t="shared" si="5"/>
        <v>0</v>
      </c>
      <c r="J66" s="437">
        <f>'[1]5A6_Thrive'!$H66</f>
        <v>0</v>
      </c>
      <c r="K66" s="440">
        <f t="shared" si="6"/>
        <v>0</v>
      </c>
      <c r="L66" s="443"/>
      <c r="M66" s="437">
        <f t="shared" si="7"/>
        <v>0</v>
      </c>
      <c r="N66" s="444">
        <f t="shared" si="2"/>
        <v>0</v>
      </c>
      <c r="O66" s="440">
        <f t="shared" si="3"/>
        <v>0</v>
      </c>
    </row>
    <row r="67" spans="1:15" ht="15.6" customHeight="1" x14ac:dyDescent="0.2">
      <c r="A67" s="547">
        <v>61</v>
      </c>
      <c r="B67" s="548" t="s">
        <v>191</v>
      </c>
      <c r="C67" s="549">
        <f>'8_2.1.21 SIS'!BH67</f>
        <v>7</v>
      </c>
      <c r="D67" s="550">
        <f>'9_Per Pupil Summary'!S66</f>
        <v>9239.1309051169974</v>
      </c>
      <c r="E67" s="550">
        <f t="shared" si="4"/>
        <v>64674</v>
      </c>
      <c r="F67" s="550"/>
      <c r="G67" s="550"/>
      <c r="H67" s="551">
        <f t="shared" si="1"/>
        <v>0</v>
      </c>
      <c r="I67" s="552">
        <f t="shared" si="5"/>
        <v>64674</v>
      </c>
      <c r="J67" s="550">
        <f>'[1]5A6_Thrive'!$H67</f>
        <v>0</v>
      </c>
      <c r="K67" s="552">
        <f t="shared" si="6"/>
        <v>64674</v>
      </c>
      <c r="L67" s="550"/>
      <c r="M67" s="550">
        <f t="shared" si="7"/>
        <v>64674</v>
      </c>
      <c r="N67" s="552">
        <f t="shared" si="2"/>
        <v>5390</v>
      </c>
      <c r="O67" s="553">
        <f t="shared" si="3"/>
        <v>64674</v>
      </c>
    </row>
    <row r="68" spans="1:15" ht="15.6" customHeight="1" x14ac:dyDescent="0.2">
      <c r="A68" s="424">
        <v>62</v>
      </c>
      <c r="B68" s="425" t="s">
        <v>192</v>
      </c>
      <c r="C68" s="554">
        <f>'8_2.1.21 SIS'!BH68</f>
        <v>0</v>
      </c>
      <c r="D68" s="427">
        <f>'9_Per Pupil Summary'!S67</f>
        <v>9522.1415732172027</v>
      </c>
      <c r="E68" s="427">
        <f t="shared" si="4"/>
        <v>0</v>
      </c>
      <c r="F68" s="427"/>
      <c r="G68" s="427"/>
      <c r="H68" s="431">
        <f t="shared" si="1"/>
        <v>0</v>
      </c>
      <c r="I68" s="430">
        <f t="shared" si="5"/>
        <v>0</v>
      </c>
      <c r="J68" s="427">
        <f>'[1]5A6_Thrive'!$H68</f>
        <v>0</v>
      </c>
      <c r="K68" s="430">
        <f t="shared" si="6"/>
        <v>0</v>
      </c>
      <c r="L68" s="427"/>
      <c r="M68" s="427">
        <f t="shared" si="7"/>
        <v>0</v>
      </c>
      <c r="N68" s="430">
        <f t="shared" si="2"/>
        <v>0</v>
      </c>
      <c r="O68" s="430">
        <f t="shared" si="3"/>
        <v>0</v>
      </c>
    </row>
    <row r="69" spans="1:15" ht="15.6" customHeight="1" x14ac:dyDescent="0.2">
      <c r="A69" s="424">
        <v>63</v>
      </c>
      <c r="B69" s="425" t="s">
        <v>193</v>
      </c>
      <c r="C69" s="554">
        <f>'8_2.1.21 SIS'!BH69</f>
        <v>1</v>
      </c>
      <c r="D69" s="427">
        <f>'9_Per Pupil Summary'!S68</f>
        <v>9611.0750942484283</v>
      </c>
      <c r="E69" s="427">
        <f t="shared" si="4"/>
        <v>9611</v>
      </c>
      <c r="F69" s="427"/>
      <c r="G69" s="427"/>
      <c r="H69" s="431">
        <f t="shared" si="1"/>
        <v>0</v>
      </c>
      <c r="I69" s="430">
        <f t="shared" si="5"/>
        <v>9611</v>
      </c>
      <c r="J69" s="427">
        <f>'[1]5A6_Thrive'!$H69</f>
        <v>0</v>
      </c>
      <c r="K69" s="430">
        <f t="shared" si="6"/>
        <v>9611</v>
      </c>
      <c r="L69" s="427"/>
      <c r="M69" s="427">
        <f t="shared" si="7"/>
        <v>9611</v>
      </c>
      <c r="N69" s="430">
        <f t="shared" si="2"/>
        <v>801</v>
      </c>
      <c r="O69" s="430">
        <f t="shared" si="3"/>
        <v>9611</v>
      </c>
    </row>
    <row r="70" spans="1:15" ht="15.6" customHeight="1" x14ac:dyDescent="0.2">
      <c r="A70" s="424">
        <v>64</v>
      </c>
      <c r="B70" s="425" t="s">
        <v>194</v>
      </c>
      <c r="C70" s="554">
        <f>'8_2.1.21 SIS'!BH70</f>
        <v>0</v>
      </c>
      <c r="D70" s="427">
        <f>'9_Per Pupil Summary'!S69</f>
        <v>10656.775300950369</v>
      </c>
      <c r="E70" s="427">
        <f t="shared" si="4"/>
        <v>0</v>
      </c>
      <c r="F70" s="427"/>
      <c r="G70" s="427"/>
      <c r="H70" s="431">
        <f t="shared" si="1"/>
        <v>0</v>
      </c>
      <c r="I70" s="430">
        <f t="shared" si="5"/>
        <v>0</v>
      </c>
      <c r="J70" s="427">
        <f>'[1]5A6_Thrive'!$H70</f>
        <v>0</v>
      </c>
      <c r="K70" s="430">
        <f t="shared" si="6"/>
        <v>0</v>
      </c>
      <c r="L70" s="427"/>
      <c r="M70" s="427">
        <f t="shared" si="7"/>
        <v>0</v>
      </c>
      <c r="N70" s="430">
        <f t="shared" si="2"/>
        <v>0</v>
      </c>
      <c r="O70" s="430">
        <f t="shared" si="3"/>
        <v>0</v>
      </c>
    </row>
    <row r="71" spans="1:15" ht="15.6" customHeight="1" x14ac:dyDescent="0.2">
      <c r="A71" s="434">
        <v>65</v>
      </c>
      <c r="B71" s="435" t="s">
        <v>195</v>
      </c>
      <c r="C71" s="485">
        <f>'8_2.1.21 SIS'!BH71</f>
        <v>1</v>
      </c>
      <c r="D71" s="437">
        <f>'9_Per Pupil Summary'!S70</f>
        <v>10032.619230474244</v>
      </c>
      <c r="E71" s="437">
        <f t="shared" si="4"/>
        <v>10033</v>
      </c>
      <c r="F71" s="437"/>
      <c r="G71" s="437"/>
      <c r="H71" s="441">
        <f>F71+G71</f>
        <v>0</v>
      </c>
      <c r="I71" s="440">
        <f t="shared" si="5"/>
        <v>10033</v>
      </c>
      <c r="J71" s="437">
        <f>'[1]5A6_Thrive'!$H71</f>
        <v>0</v>
      </c>
      <c r="K71" s="440">
        <f t="shared" si="6"/>
        <v>10033</v>
      </c>
      <c r="L71" s="443"/>
      <c r="M71" s="437">
        <f t="shared" si="7"/>
        <v>10033</v>
      </c>
      <c r="N71" s="444">
        <f t="shared" ref="N71:N75" si="8">ROUND(M71/$N$87,0)</f>
        <v>836</v>
      </c>
      <c r="O71" s="440">
        <f t="shared" ref="O71:O75" si="9">K71</f>
        <v>10033</v>
      </c>
    </row>
    <row r="72" spans="1:15" ht="15.6" customHeight="1" x14ac:dyDescent="0.2">
      <c r="A72" s="424">
        <v>66</v>
      </c>
      <c r="B72" s="425" t="s">
        <v>196</v>
      </c>
      <c r="C72" s="555">
        <f>'8_2.1.21 SIS'!BH72</f>
        <v>0</v>
      </c>
      <c r="D72" s="556">
        <f>'9_Per Pupil Summary'!S71</f>
        <v>11498.85928950159</v>
      </c>
      <c r="E72" s="556">
        <f t="shared" ref="E72:E75" si="10">ROUND(C72*D72,0)</f>
        <v>0</v>
      </c>
      <c r="F72" s="556"/>
      <c r="G72" s="556"/>
      <c r="H72" s="557">
        <f>F72+G72</f>
        <v>0</v>
      </c>
      <c r="I72" s="558">
        <f t="shared" ref="I72:I75" si="11">E72+H72</f>
        <v>0</v>
      </c>
      <c r="J72" s="556">
        <f>'[1]5A6_Thrive'!$H72</f>
        <v>0</v>
      </c>
      <c r="K72" s="558">
        <f>ROUND(SUM(I72:J72),0)</f>
        <v>0</v>
      </c>
      <c r="L72" s="427"/>
      <c r="M72" s="556">
        <f>K72-L72</f>
        <v>0</v>
      </c>
      <c r="N72" s="430">
        <f t="shared" si="8"/>
        <v>0</v>
      </c>
      <c r="O72" s="558">
        <f t="shared" si="9"/>
        <v>0</v>
      </c>
    </row>
    <row r="73" spans="1:15" ht="15.6" customHeight="1" x14ac:dyDescent="0.2">
      <c r="A73" s="424">
        <v>67</v>
      </c>
      <c r="B73" s="425" t="s">
        <v>197</v>
      </c>
      <c r="C73" s="555">
        <f>'8_2.1.21 SIS'!BH73</f>
        <v>1</v>
      </c>
      <c r="D73" s="556">
        <f>'9_Per Pupil Summary'!S72</f>
        <v>9460.3382591696136</v>
      </c>
      <c r="E73" s="556">
        <f t="shared" si="10"/>
        <v>9460</v>
      </c>
      <c r="F73" s="556"/>
      <c r="G73" s="556"/>
      <c r="H73" s="557">
        <f>F73+G73</f>
        <v>0</v>
      </c>
      <c r="I73" s="558">
        <f t="shared" si="11"/>
        <v>9460</v>
      </c>
      <c r="J73" s="556">
        <f>'[1]5A6_Thrive'!$H73</f>
        <v>0</v>
      </c>
      <c r="K73" s="558">
        <f>ROUND(SUM(I73:J73),0)</f>
        <v>9460</v>
      </c>
      <c r="L73" s="427"/>
      <c r="M73" s="556">
        <f>K73-L73</f>
        <v>9460</v>
      </c>
      <c r="N73" s="430">
        <f t="shared" si="8"/>
        <v>788</v>
      </c>
      <c r="O73" s="558">
        <f t="shared" si="9"/>
        <v>9460</v>
      </c>
    </row>
    <row r="74" spans="1:15" ht="15.6" customHeight="1" x14ac:dyDescent="0.2">
      <c r="A74" s="424">
        <v>68</v>
      </c>
      <c r="B74" s="425" t="s">
        <v>198</v>
      </c>
      <c r="C74" s="555">
        <f>'8_2.1.21 SIS'!BH74</f>
        <v>0</v>
      </c>
      <c r="D74" s="556">
        <f>'9_Per Pupil Summary'!S73</f>
        <v>10683.750168502916</v>
      </c>
      <c r="E74" s="556">
        <f t="shared" si="10"/>
        <v>0</v>
      </c>
      <c r="F74" s="556"/>
      <c r="G74" s="556"/>
      <c r="H74" s="557">
        <f>F74+G74</f>
        <v>0</v>
      </c>
      <c r="I74" s="558">
        <f t="shared" si="11"/>
        <v>0</v>
      </c>
      <c r="J74" s="556">
        <f>'[1]5A6_Thrive'!$H74</f>
        <v>0</v>
      </c>
      <c r="K74" s="558">
        <f>ROUND(SUM(I74:J74),0)</f>
        <v>0</v>
      </c>
      <c r="L74" s="427"/>
      <c r="M74" s="556">
        <f>K74-L74</f>
        <v>0</v>
      </c>
      <c r="N74" s="430">
        <f t="shared" si="8"/>
        <v>0</v>
      </c>
      <c r="O74" s="558">
        <f t="shared" si="9"/>
        <v>0</v>
      </c>
    </row>
    <row r="75" spans="1:15" ht="15.6" customHeight="1" x14ac:dyDescent="0.2">
      <c r="A75" s="559">
        <v>69</v>
      </c>
      <c r="B75" s="560" t="s">
        <v>199</v>
      </c>
      <c r="C75" s="561">
        <f>'8_2.1.21 SIS'!BH75</f>
        <v>0</v>
      </c>
      <c r="D75" s="562">
        <f>'9_Per Pupil Summary'!S74</f>
        <v>9769.6102941176468</v>
      </c>
      <c r="E75" s="562">
        <f t="shared" si="10"/>
        <v>0</v>
      </c>
      <c r="F75" s="562"/>
      <c r="G75" s="562"/>
      <c r="H75" s="563">
        <f>F75+G75</f>
        <v>0</v>
      </c>
      <c r="I75" s="564">
        <f t="shared" si="11"/>
        <v>0</v>
      </c>
      <c r="J75" s="562">
        <f>'[1]5A6_Thrive'!$H75</f>
        <v>0</v>
      </c>
      <c r="K75" s="564">
        <f>ROUND(SUM(I75:J75),0)</f>
        <v>0</v>
      </c>
      <c r="L75" s="565"/>
      <c r="M75" s="562">
        <f>K75-L75</f>
        <v>0</v>
      </c>
      <c r="N75" s="566">
        <f t="shared" si="8"/>
        <v>0</v>
      </c>
      <c r="O75" s="564">
        <f t="shared" si="9"/>
        <v>0</v>
      </c>
    </row>
    <row r="76" spans="1:15" s="41" customFormat="1" ht="15.6" customHeight="1" thickBot="1" x14ac:dyDescent="0.25">
      <c r="A76" s="1045" t="s">
        <v>751</v>
      </c>
      <c r="B76" s="1061"/>
      <c r="C76" s="526">
        <f>SUM(C7:C75)</f>
        <v>169</v>
      </c>
      <c r="D76" s="522"/>
      <c r="E76" s="524">
        <f>SUM(E7:E75)</f>
        <v>1530995</v>
      </c>
      <c r="F76" s="524">
        <f t="shared" ref="F76:L76" si="12">SUM(F7:F75)</f>
        <v>0</v>
      </c>
      <c r="G76" s="524">
        <f>SUM(G7:G75)</f>
        <v>0</v>
      </c>
      <c r="H76" s="567">
        <f t="shared" si="12"/>
        <v>0</v>
      </c>
      <c r="I76" s="568">
        <f>SUM(I7:I75)</f>
        <v>1530995</v>
      </c>
      <c r="J76" s="524">
        <f t="shared" si="12"/>
        <v>-4476</v>
      </c>
      <c r="K76" s="568">
        <f t="shared" si="12"/>
        <v>1526519</v>
      </c>
      <c r="L76" s="524">
        <f t="shared" si="12"/>
        <v>0</v>
      </c>
      <c r="M76" s="524">
        <f>SUM(M7:M75)</f>
        <v>1526519</v>
      </c>
      <c r="N76" s="568">
        <f>SUM(N7:N75)</f>
        <v>127211</v>
      </c>
      <c r="O76" s="568">
        <f>SUM(O7:O75)</f>
        <v>1526519</v>
      </c>
    </row>
    <row r="77" spans="1:15" s="404" customFormat="1" ht="15.6" customHeight="1" thickTop="1" x14ac:dyDescent="0.2">
      <c r="A77" s="1051" t="s">
        <v>752</v>
      </c>
      <c r="B77" s="1052"/>
      <c r="C77" s="569"/>
      <c r="D77" s="497"/>
      <c r="E77" s="570"/>
      <c r="F77" s="570"/>
      <c r="G77" s="570"/>
      <c r="H77" s="570"/>
      <c r="I77" s="570"/>
      <c r="J77" s="570"/>
      <c r="K77" s="498"/>
      <c r="L77" s="498"/>
      <c r="M77" s="497"/>
      <c r="N77" s="498"/>
      <c r="O77" s="498"/>
    </row>
    <row r="78" spans="1:15" s="404" customFormat="1" ht="15.6" customHeight="1" x14ac:dyDescent="0.2">
      <c r="A78" s="1064" t="s">
        <v>753</v>
      </c>
      <c r="B78" s="1065"/>
      <c r="C78" s="569"/>
      <c r="D78" s="497"/>
      <c r="E78" s="570"/>
      <c r="F78" s="570"/>
      <c r="G78" s="570"/>
      <c r="H78" s="570"/>
      <c r="I78" s="570"/>
      <c r="J78" s="570"/>
      <c r="K78" s="505">
        <v>0</v>
      </c>
      <c r="L78" s="498"/>
      <c r="M78" s="497">
        <f>K78-L78</f>
        <v>0</v>
      </c>
      <c r="N78" s="505">
        <f>ROUND(M78/$N$87,0)</f>
        <v>0</v>
      </c>
      <c r="O78" s="505">
        <v>0</v>
      </c>
    </row>
    <row r="79" spans="1:15" s="404" customFormat="1" ht="15.6" customHeight="1" x14ac:dyDescent="0.2">
      <c r="A79" s="1047" t="s">
        <v>754</v>
      </c>
      <c r="B79" s="1066"/>
      <c r="C79" s="582"/>
      <c r="D79" s="497"/>
      <c r="E79" s="572"/>
      <c r="F79" s="572"/>
      <c r="G79" s="572"/>
      <c r="H79" s="572"/>
      <c r="I79" s="572"/>
      <c r="J79" s="572"/>
      <c r="K79" s="498"/>
      <c r="L79" s="498"/>
      <c r="M79" s="497"/>
      <c r="N79" s="498"/>
      <c r="O79" s="505">
        <v>0</v>
      </c>
    </row>
    <row r="80" spans="1:15" s="404" customFormat="1" ht="15.6" customHeight="1" x14ac:dyDescent="0.2">
      <c r="A80" s="1043" t="s">
        <v>755</v>
      </c>
      <c r="B80" s="1062"/>
      <c r="C80" s="571"/>
      <c r="D80" s="497"/>
      <c r="E80" s="572"/>
      <c r="F80" s="572"/>
      <c r="G80" s="572"/>
      <c r="H80" s="572"/>
      <c r="I80" s="572"/>
      <c r="J80" s="572"/>
      <c r="K80" s="498"/>
      <c r="L80" s="498"/>
      <c r="M80" s="497"/>
      <c r="N80" s="498"/>
      <c r="O80" s="505">
        <v>13014</v>
      </c>
    </row>
    <row r="81" spans="1:15" s="404" customFormat="1" ht="15.6" customHeight="1" x14ac:dyDescent="0.2">
      <c r="A81" s="1043" t="s">
        <v>756</v>
      </c>
      <c r="B81" s="1062"/>
      <c r="C81" s="571"/>
      <c r="D81" s="497"/>
      <c r="E81" s="572"/>
      <c r="F81" s="572"/>
      <c r="G81" s="572"/>
      <c r="H81" s="572"/>
      <c r="I81" s="572"/>
      <c r="J81" s="572"/>
      <c r="K81" s="498"/>
      <c r="L81" s="498"/>
      <c r="M81" s="497"/>
      <c r="N81" s="498"/>
      <c r="O81" s="505">
        <v>0</v>
      </c>
    </row>
    <row r="82" spans="1:15" s="404" customFormat="1" ht="15.6" customHeight="1" x14ac:dyDescent="0.2">
      <c r="A82" s="1049" t="s">
        <v>757</v>
      </c>
      <c r="B82" s="1067"/>
      <c r="C82" s="573"/>
      <c r="D82" s="574"/>
      <c r="E82" s="575"/>
      <c r="F82" s="575"/>
      <c r="G82" s="575"/>
      <c r="H82" s="575"/>
      <c r="I82" s="575"/>
      <c r="J82" s="575"/>
      <c r="K82" s="576">
        <v>9971</v>
      </c>
      <c r="L82" s="577"/>
      <c r="M82" s="578">
        <f>K82-L82</f>
        <v>9971</v>
      </c>
      <c r="N82" s="576">
        <f>ROUND(M82/$N$87,0)</f>
        <v>831</v>
      </c>
      <c r="O82" s="576">
        <v>9971</v>
      </c>
    </row>
    <row r="83" spans="1:15" s="404" customFormat="1" ht="15.6" customHeight="1" x14ac:dyDescent="0.2">
      <c r="A83" s="1043" t="s">
        <v>758</v>
      </c>
      <c r="B83" s="1062"/>
      <c r="C83" s="498"/>
      <c r="D83" s="498"/>
      <c r="E83" s="498"/>
      <c r="F83" s="498"/>
      <c r="G83" s="498"/>
      <c r="H83" s="498"/>
      <c r="I83" s="498"/>
      <c r="J83" s="498"/>
      <c r="K83" s="505">
        <v>78807</v>
      </c>
      <c r="L83" s="498"/>
      <c r="M83" s="497">
        <f t="shared" ref="M83:M84" si="13">K83-L83</f>
        <v>78807</v>
      </c>
      <c r="N83" s="505">
        <f t="shared" ref="N83:N84" si="14">ROUND(M83/$N$87,0)</f>
        <v>6567</v>
      </c>
      <c r="O83" s="505">
        <v>78807</v>
      </c>
    </row>
    <row r="84" spans="1:15" s="404" customFormat="1" ht="15.6" customHeight="1" x14ac:dyDescent="0.2">
      <c r="A84" s="1043" t="s">
        <v>759</v>
      </c>
      <c r="B84" s="1062"/>
      <c r="C84" s="498"/>
      <c r="D84" s="498"/>
      <c r="E84" s="498"/>
      <c r="F84" s="498"/>
      <c r="G84" s="498"/>
      <c r="H84" s="498"/>
      <c r="I84" s="498"/>
      <c r="J84" s="498"/>
      <c r="K84" s="505">
        <v>63045</v>
      </c>
      <c r="L84" s="498"/>
      <c r="M84" s="497">
        <f t="shared" si="13"/>
        <v>63045</v>
      </c>
      <c r="N84" s="505">
        <f t="shared" si="14"/>
        <v>5254</v>
      </c>
      <c r="O84" s="505">
        <v>63045</v>
      </c>
    </row>
    <row r="85" spans="1:15" s="41" customFormat="1" ht="15.6" customHeight="1" thickBot="1" x14ac:dyDescent="0.25">
      <c r="A85" s="1045" t="s">
        <v>760</v>
      </c>
      <c r="B85" s="1063"/>
      <c r="C85" s="526">
        <f>SUM(C76:C84)</f>
        <v>169</v>
      </c>
      <c r="D85" s="522"/>
      <c r="E85" s="524">
        <f>SUM(E76:E84)</f>
        <v>1530995</v>
      </c>
      <c r="F85" s="524">
        <f t="shared" ref="F85:O85" si="15">SUM(F76:F84)</f>
        <v>0</v>
      </c>
      <c r="G85" s="524">
        <f t="shared" si="15"/>
        <v>0</v>
      </c>
      <c r="H85" s="567">
        <f t="shared" si="15"/>
        <v>0</v>
      </c>
      <c r="I85" s="568">
        <f t="shared" si="15"/>
        <v>1530995</v>
      </c>
      <c r="J85" s="524">
        <f t="shared" si="15"/>
        <v>-4476</v>
      </c>
      <c r="K85" s="568">
        <f t="shared" si="15"/>
        <v>1678342</v>
      </c>
      <c r="L85" s="524">
        <f t="shared" si="15"/>
        <v>0</v>
      </c>
      <c r="M85" s="524">
        <f t="shared" si="15"/>
        <v>1678342</v>
      </c>
      <c r="N85" s="568">
        <f t="shared" si="15"/>
        <v>139863</v>
      </c>
      <c r="O85" s="568">
        <f t="shared" si="15"/>
        <v>1691356</v>
      </c>
    </row>
    <row r="86" spans="1:15" ht="13.5" thickTop="1" x14ac:dyDescent="0.2"/>
    <row r="87" spans="1:15" x14ac:dyDescent="0.2">
      <c r="L87" s="15"/>
      <c r="N87" s="2">
        <v>12</v>
      </c>
    </row>
  </sheetData>
  <sheetProtection password="D893" sheet="1" objects="1" scenarios="1"/>
  <mergeCells count="14">
    <mergeCell ref="A84:B84"/>
    <mergeCell ref="A85:B85"/>
    <mergeCell ref="A78:B78"/>
    <mergeCell ref="A79:B79"/>
    <mergeCell ref="A80:B80"/>
    <mergeCell ref="A81:B81"/>
    <mergeCell ref="A82:B82"/>
    <mergeCell ref="A83:B83"/>
    <mergeCell ref="A77:B77"/>
    <mergeCell ref="A1:B3"/>
    <mergeCell ref="C1:H1"/>
    <mergeCell ref="I1:O1"/>
    <mergeCell ref="F2:H2"/>
    <mergeCell ref="A76:B76"/>
  </mergeCells>
  <printOptions horizontalCentered="1"/>
  <pageMargins left="0.35" right="0.35" top="0.85" bottom="0.35" header="0.3" footer="0.25"/>
  <pageSetup paperSize="5" scale="65" firstPageNumber="50" fitToWidth="0" orientation="portrait" r:id="rId1"/>
  <headerFooter alignWithMargins="0">
    <oddHeader xml:space="preserve">&amp;L&amp;"Arial,Bold"&amp;20&amp;K000000FY2021-22 Budget Letter
July 2021&amp;R&amp;"Arial,Bold"&amp;12&amp;KFF0000
</oddHeader>
    <oddFooter>&amp;R&amp;9&amp;P</oddFoot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V21"/>
  <sheetViews>
    <sheetView zoomScaleNormal="100" zoomScaleSheetLayoutView="100" workbookViewId="0">
      <pane xSplit="3" ySplit="6" topLeftCell="D7" activePane="bottomRight" state="frozen"/>
      <selection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8.85546875" defaultRowHeight="12.75" x14ac:dyDescent="0.2"/>
  <cols>
    <col min="1" max="1" width="9.42578125" style="663" customWidth="1"/>
    <col min="2" max="2" width="8.42578125" style="663" hidden="1" customWidth="1"/>
    <col min="3" max="3" width="29.28515625" style="1" customWidth="1"/>
    <col min="4" max="4" width="13.140625" style="1" customWidth="1"/>
    <col min="5" max="5" width="13.5703125" style="1" customWidth="1"/>
    <col min="6" max="6" width="16.140625" style="1" bestFit="1" customWidth="1"/>
    <col min="7" max="8" width="12.85546875" style="1" customWidth="1"/>
    <col min="9" max="13" width="13.7109375" style="1" customWidth="1"/>
    <col min="14" max="16" width="12.7109375" style="1" customWidth="1"/>
    <col min="17" max="17" width="13.7109375" style="1" customWidth="1"/>
    <col min="18" max="18" width="14.5703125" style="1" customWidth="1"/>
    <col min="19" max="19" width="15.5703125" style="1" customWidth="1"/>
    <col min="20" max="23" width="14.7109375" style="1" customWidth="1"/>
    <col min="24" max="24" width="15.7109375" style="1" customWidth="1"/>
    <col min="25" max="25" width="15.140625" style="1" customWidth="1"/>
    <col min="26" max="27" width="13.5703125" style="1" customWidth="1"/>
    <col min="28" max="30" width="14.7109375" style="1" customWidth="1"/>
    <col min="31" max="31" width="15" style="1" customWidth="1"/>
    <col min="32" max="39" width="16.28515625" style="1" customWidth="1"/>
    <col min="40" max="42" width="15.28515625" style="1" customWidth="1"/>
    <col min="43" max="48" width="17.28515625" style="1" customWidth="1"/>
    <col min="49" max="16384" width="8.85546875" style="1"/>
  </cols>
  <sheetData>
    <row r="1" spans="1:48" ht="22.15" customHeight="1" x14ac:dyDescent="0.2">
      <c r="A1" s="1075" t="s">
        <v>783</v>
      </c>
      <c r="B1" s="1075"/>
      <c r="C1" s="1076"/>
      <c r="D1" s="1008" t="s">
        <v>625</v>
      </c>
      <c r="E1" s="1006"/>
      <c r="F1" s="1006"/>
      <c r="G1" s="1006"/>
      <c r="H1" s="1006"/>
      <c r="I1" s="1006"/>
      <c r="J1" s="1006"/>
      <c r="K1" s="1006"/>
      <c r="L1" s="1006"/>
      <c r="M1" s="1006"/>
      <c r="N1" s="1006"/>
      <c r="O1" s="1006"/>
      <c r="P1" s="1006"/>
      <c r="Q1" s="1006"/>
      <c r="R1" s="1007"/>
      <c r="S1" s="1008" t="s">
        <v>625</v>
      </c>
      <c r="T1" s="1006"/>
      <c r="U1" s="1006"/>
      <c r="V1" s="1006"/>
      <c r="W1" s="1006"/>
      <c r="X1" s="1006"/>
      <c r="Y1" s="1006"/>
      <c r="Z1" s="1006"/>
      <c r="AA1" s="1006"/>
      <c r="AB1" s="1006"/>
      <c r="AC1" s="1006"/>
      <c r="AD1" s="1006"/>
      <c r="AE1" s="1007"/>
      <c r="AF1" s="1069" t="s">
        <v>784</v>
      </c>
      <c r="AG1" s="1070"/>
      <c r="AH1" s="1070"/>
      <c r="AI1" s="1070"/>
      <c r="AJ1" s="1070"/>
      <c r="AK1" s="1070"/>
      <c r="AL1" s="1070"/>
      <c r="AM1" s="1070"/>
      <c r="AN1" s="1070"/>
      <c r="AO1" s="1070"/>
      <c r="AP1" s="1071"/>
      <c r="AQ1" s="1069" t="s">
        <v>784</v>
      </c>
      <c r="AR1" s="1070"/>
      <c r="AS1" s="1070"/>
      <c r="AT1" s="1070"/>
      <c r="AU1" s="1070"/>
      <c r="AV1" s="1071"/>
    </row>
    <row r="2" spans="1:48" ht="21.6" customHeight="1" x14ac:dyDescent="0.25">
      <c r="A2" s="1076"/>
      <c r="B2" s="1076"/>
      <c r="C2" s="1076"/>
      <c r="D2" s="583"/>
      <c r="E2" s="584"/>
      <c r="F2" s="585"/>
      <c r="G2" s="586"/>
      <c r="H2" s="587"/>
      <c r="I2" s="588"/>
      <c r="J2" s="1072" t="s">
        <v>18</v>
      </c>
      <c r="K2" s="1072"/>
      <c r="L2" s="1072"/>
      <c r="M2" s="588"/>
      <c r="N2" s="589"/>
      <c r="O2" s="589"/>
      <c r="P2" s="589"/>
      <c r="Q2" s="590"/>
      <c r="R2" s="591"/>
      <c r="S2" s="592"/>
      <c r="T2" s="1073" t="s">
        <v>20</v>
      </c>
      <c r="U2" s="1073"/>
      <c r="V2" s="1073"/>
      <c r="W2" s="1073"/>
      <c r="X2" s="588"/>
      <c r="Y2" s="588"/>
      <c r="Z2" s="588"/>
      <c r="AA2" s="588"/>
      <c r="AB2" s="1073" t="s">
        <v>25</v>
      </c>
      <c r="AC2" s="1073"/>
      <c r="AD2" s="1073"/>
      <c r="AE2" s="591"/>
      <c r="AF2" s="593"/>
      <c r="AG2" s="594"/>
      <c r="AH2" s="1074" t="s">
        <v>18</v>
      </c>
      <c r="AI2" s="1074"/>
      <c r="AJ2" s="1074"/>
      <c r="AK2" s="1074"/>
      <c r="AL2" s="1074"/>
      <c r="AM2" s="594"/>
      <c r="AN2" s="595"/>
      <c r="AO2" s="595"/>
      <c r="AP2" s="596"/>
      <c r="AQ2" s="593"/>
      <c r="AR2" s="594"/>
      <c r="AS2" s="594"/>
      <c r="AT2" s="594"/>
      <c r="AU2" s="594"/>
      <c r="AV2" s="597"/>
    </row>
    <row r="3" spans="1:48" ht="136.9" customHeight="1" x14ac:dyDescent="0.2">
      <c r="A3" s="1076"/>
      <c r="B3" s="1076"/>
      <c r="C3" s="1076"/>
      <c r="D3" s="598" t="s">
        <v>661</v>
      </c>
      <c r="E3" s="599" t="s">
        <v>785</v>
      </c>
      <c r="F3" s="599" t="s">
        <v>786</v>
      </c>
      <c r="G3" s="600" t="s">
        <v>629</v>
      </c>
      <c r="H3" s="600" t="s">
        <v>630</v>
      </c>
      <c r="I3" s="601" t="s">
        <v>631</v>
      </c>
      <c r="J3" s="540" t="s">
        <v>63</v>
      </c>
      <c r="K3" s="540" t="s">
        <v>64</v>
      </c>
      <c r="L3" s="540" t="s">
        <v>65</v>
      </c>
      <c r="M3" s="602" t="s">
        <v>632</v>
      </c>
      <c r="N3" s="600" t="s">
        <v>787</v>
      </c>
      <c r="O3" s="600" t="s">
        <v>788</v>
      </c>
      <c r="P3" s="600" t="s">
        <v>789</v>
      </c>
      <c r="Q3" s="600" t="s">
        <v>669</v>
      </c>
      <c r="R3" s="540" t="s">
        <v>670</v>
      </c>
      <c r="S3" s="600" t="s">
        <v>790</v>
      </c>
      <c r="T3" s="603" t="s">
        <v>791</v>
      </c>
      <c r="U3" s="603" t="s">
        <v>792</v>
      </c>
      <c r="V3" s="603" t="s">
        <v>68</v>
      </c>
      <c r="W3" s="603" t="s">
        <v>69</v>
      </c>
      <c r="X3" s="604" t="s">
        <v>672</v>
      </c>
      <c r="Y3" s="604" t="s">
        <v>636</v>
      </c>
      <c r="Z3" s="604" t="s">
        <v>637</v>
      </c>
      <c r="AA3" s="604" t="s">
        <v>793</v>
      </c>
      <c r="AB3" s="605" t="s">
        <v>70</v>
      </c>
      <c r="AC3" s="605" t="s">
        <v>71</v>
      </c>
      <c r="AD3" s="605" t="s">
        <v>72</v>
      </c>
      <c r="AE3" s="604" t="s">
        <v>794</v>
      </c>
      <c r="AF3" s="606" t="s">
        <v>795</v>
      </c>
      <c r="AG3" s="607" t="s">
        <v>796</v>
      </c>
      <c r="AH3" s="608" t="s">
        <v>797</v>
      </c>
      <c r="AI3" s="608" t="s">
        <v>798</v>
      </c>
      <c r="AJ3" s="608" t="s">
        <v>799</v>
      </c>
      <c r="AK3" s="608" t="s">
        <v>800</v>
      </c>
      <c r="AL3" s="608" t="s">
        <v>65</v>
      </c>
      <c r="AM3" s="609" t="s">
        <v>801</v>
      </c>
      <c r="AN3" s="607" t="s">
        <v>802</v>
      </c>
      <c r="AO3" s="607" t="s">
        <v>803</v>
      </c>
      <c r="AP3" s="607" t="s">
        <v>804</v>
      </c>
      <c r="AQ3" s="607" t="s">
        <v>805</v>
      </c>
      <c r="AR3" s="540" t="s">
        <v>670</v>
      </c>
      <c r="AS3" s="610" t="s">
        <v>806</v>
      </c>
      <c r="AT3" s="607" t="s">
        <v>728</v>
      </c>
      <c r="AU3" s="607" t="s">
        <v>637</v>
      </c>
      <c r="AV3" s="607" t="s">
        <v>807</v>
      </c>
    </row>
    <row r="4" spans="1:48" x14ac:dyDescent="0.2">
      <c r="A4" s="611"/>
      <c r="B4" s="611"/>
      <c r="C4" s="612"/>
      <c r="D4" s="613">
        <v>1</v>
      </c>
      <c r="E4" s="613">
        <f t="shared" ref="E4:AV4" si="0">D4+1</f>
        <v>2</v>
      </c>
      <c r="F4" s="613">
        <f t="shared" si="0"/>
        <v>3</v>
      </c>
      <c r="G4" s="613">
        <f t="shared" si="0"/>
        <v>4</v>
      </c>
      <c r="H4" s="613">
        <f t="shared" si="0"/>
        <v>5</v>
      </c>
      <c r="I4" s="613">
        <f t="shared" si="0"/>
        <v>6</v>
      </c>
      <c r="J4" s="613">
        <f t="shared" si="0"/>
        <v>7</v>
      </c>
      <c r="K4" s="613">
        <f t="shared" si="0"/>
        <v>8</v>
      </c>
      <c r="L4" s="613">
        <f t="shared" si="0"/>
        <v>9</v>
      </c>
      <c r="M4" s="613">
        <f t="shared" si="0"/>
        <v>10</v>
      </c>
      <c r="N4" s="613">
        <f t="shared" si="0"/>
        <v>11</v>
      </c>
      <c r="O4" s="613">
        <f t="shared" si="0"/>
        <v>12</v>
      </c>
      <c r="P4" s="613">
        <f t="shared" si="0"/>
        <v>13</v>
      </c>
      <c r="Q4" s="613">
        <f t="shared" si="0"/>
        <v>14</v>
      </c>
      <c r="R4" s="613">
        <f t="shared" si="0"/>
        <v>15</v>
      </c>
      <c r="S4" s="613">
        <f t="shared" si="0"/>
        <v>16</v>
      </c>
      <c r="T4" s="613">
        <f t="shared" si="0"/>
        <v>17</v>
      </c>
      <c r="U4" s="613">
        <f t="shared" si="0"/>
        <v>18</v>
      </c>
      <c r="V4" s="613">
        <f t="shared" si="0"/>
        <v>19</v>
      </c>
      <c r="W4" s="613">
        <f t="shared" si="0"/>
        <v>20</v>
      </c>
      <c r="X4" s="613">
        <f t="shared" si="0"/>
        <v>21</v>
      </c>
      <c r="Y4" s="613">
        <f t="shared" si="0"/>
        <v>22</v>
      </c>
      <c r="Z4" s="613">
        <f t="shared" si="0"/>
        <v>23</v>
      </c>
      <c r="AA4" s="613">
        <f t="shared" si="0"/>
        <v>24</v>
      </c>
      <c r="AB4" s="613">
        <f t="shared" si="0"/>
        <v>25</v>
      </c>
      <c r="AC4" s="613">
        <f t="shared" si="0"/>
        <v>26</v>
      </c>
      <c r="AD4" s="613">
        <f t="shared" si="0"/>
        <v>27</v>
      </c>
      <c r="AE4" s="613">
        <f>AD4+1</f>
        <v>28</v>
      </c>
      <c r="AF4" s="613">
        <f t="shared" si="0"/>
        <v>29</v>
      </c>
      <c r="AG4" s="613">
        <f t="shared" si="0"/>
        <v>30</v>
      </c>
      <c r="AH4" s="613">
        <f t="shared" si="0"/>
        <v>31</v>
      </c>
      <c r="AI4" s="613">
        <f t="shared" si="0"/>
        <v>32</v>
      </c>
      <c r="AJ4" s="613">
        <f t="shared" si="0"/>
        <v>33</v>
      </c>
      <c r="AK4" s="613">
        <f t="shared" si="0"/>
        <v>34</v>
      </c>
      <c r="AL4" s="613">
        <f t="shared" si="0"/>
        <v>35</v>
      </c>
      <c r="AM4" s="613">
        <f t="shared" si="0"/>
        <v>36</v>
      </c>
      <c r="AN4" s="613">
        <f t="shared" si="0"/>
        <v>37</v>
      </c>
      <c r="AO4" s="613">
        <f t="shared" si="0"/>
        <v>38</v>
      </c>
      <c r="AP4" s="613">
        <f t="shared" si="0"/>
        <v>39</v>
      </c>
      <c r="AQ4" s="613">
        <f t="shared" si="0"/>
        <v>40</v>
      </c>
      <c r="AR4" s="613">
        <f t="shared" si="0"/>
        <v>41</v>
      </c>
      <c r="AS4" s="613">
        <f t="shared" si="0"/>
        <v>42</v>
      </c>
      <c r="AT4" s="613">
        <f t="shared" si="0"/>
        <v>43</v>
      </c>
      <c r="AU4" s="613">
        <f t="shared" si="0"/>
        <v>44</v>
      </c>
      <c r="AV4" s="613">
        <f t="shared" si="0"/>
        <v>45</v>
      </c>
    </row>
    <row r="5" spans="1:48" s="412" customFormat="1" ht="22.5" hidden="1" x14ac:dyDescent="0.2">
      <c r="A5" s="614"/>
      <c r="B5" s="614"/>
      <c r="C5" s="615"/>
      <c r="D5" s="616" t="s">
        <v>73</v>
      </c>
      <c r="E5" s="616" t="s">
        <v>73</v>
      </c>
      <c r="F5" s="616" t="s">
        <v>74</v>
      </c>
      <c r="G5" s="616" t="s">
        <v>445</v>
      </c>
      <c r="H5" s="616" t="s">
        <v>74</v>
      </c>
      <c r="I5" s="616" t="s">
        <v>74</v>
      </c>
      <c r="J5" s="616" t="s">
        <v>640</v>
      </c>
      <c r="K5" s="616" t="s">
        <v>640</v>
      </c>
      <c r="L5" s="616" t="s">
        <v>74</v>
      </c>
      <c r="M5" s="616" t="s">
        <v>74</v>
      </c>
      <c r="N5" s="616" t="s">
        <v>74</v>
      </c>
      <c r="O5" s="616" t="s">
        <v>74</v>
      </c>
      <c r="P5" s="616" t="s">
        <v>74</v>
      </c>
      <c r="Q5" s="616" t="s">
        <v>74</v>
      </c>
      <c r="R5" s="616" t="s">
        <v>112</v>
      </c>
      <c r="S5" s="616" t="s">
        <v>74</v>
      </c>
      <c r="T5" s="616" t="s">
        <v>73</v>
      </c>
      <c r="U5" s="616" t="s">
        <v>73</v>
      </c>
      <c r="V5" s="616"/>
      <c r="W5" s="616"/>
      <c r="X5" s="616" t="s">
        <v>74</v>
      </c>
      <c r="Y5" s="616" t="s">
        <v>768</v>
      </c>
      <c r="Z5" s="616" t="s">
        <v>74</v>
      </c>
      <c r="AA5" s="616" t="s">
        <v>74</v>
      </c>
      <c r="AB5" s="616" t="s">
        <v>73</v>
      </c>
      <c r="AC5" s="616" t="s">
        <v>73</v>
      </c>
      <c r="AD5" s="616" t="s">
        <v>73</v>
      </c>
      <c r="AE5" s="616" t="s">
        <v>74</v>
      </c>
      <c r="AF5" s="616" t="s">
        <v>73</v>
      </c>
      <c r="AG5" s="616" t="s">
        <v>74</v>
      </c>
      <c r="AH5" s="616" t="s">
        <v>640</v>
      </c>
      <c r="AI5" s="616" t="s">
        <v>74</v>
      </c>
      <c r="AJ5" s="616" t="s">
        <v>640</v>
      </c>
      <c r="AK5" s="616" t="s">
        <v>74</v>
      </c>
      <c r="AL5" s="616" t="s">
        <v>74</v>
      </c>
      <c r="AM5" s="616" t="s">
        <v>74</v>
      </c>
      <c r="AN5" s="616" t="s">
        <v>74</v>
      </c>
      <c r="AO5" s="616" t="s">
        <v>74</v>
      </c>
      <c r="AP5" s="616" t="s">
        <v>74</v>
      </c>
      <c r="AQ5" s="616" t="s">
        <v>74</v>
      </c>
      <c r="AR5" s="616" t="s">
        <v>112</v>
      </c>
      <c r="AS5" s="616" t="s">
        <v>74</v>
      </c>
      <c r="AT5" s="616" t="s">
        <v>768</v>
      </c>
      <c r="AU5" s="616" t="s">
        <v>74</v>
      </c>
      <c r="AV5" s="616" t="s">
        <v>74</v>
      </c>
    </row>
    <row r="6" spans="1:48" s="412" customFormat="1" ht="33.75" x14ac:dyDescent="0.2">
      <c r="A6" s="614"/>
      <c r="B6" s="614"/>
      <c r="C6" s="615"/>
      <c r="D6" s="616" t="s">
        <v>808</v>
      </c>
      <c r="E6" s="616" t="s">
        <v>809</v>
      </c>
      <c r="F6" s="616" t="s">
        <v>644</v>
      </c>
      <c r="G6" s="616" t="s">
        <v>448</v>
      </c>
      <c r="H6" s="616" t="s">
        <v>645</v>
      </c>
      <c r="I6" s="616" t="s">
        <v>646</v>
      </c>
      <c r="J6" s="546" t="s">
        <v>115</v>
      </c>
      <c r="K6" s="546" t="s">
        <v>116</v>
      </c>
      <c r="L6" s="616" t="s">
        <v>649</v>
      </c>
      <c r="M6" s="616" t="s">
        <v>650</v>
      </c>
      <c r="N6" s="546" t="s">
        <v>810</v>
      </c>
      <c r="O6" s="546" t="s">
        <v>811</v>
      </c>
      <c r="P6" s="546" t="s">
        <v>812</v>
      </c>
      <c r="Q6" s="546" t="s">
        <v>813</v>
      </c>
      <c r="R6" s="616" t="s">
        <v>112</v>
      </c>
      <c r="S6" s="616" t="s">
        <v>814</v>
      </c>
      <c r="T6" s="546" t="s">
        <v>815</v>
      </c>
      <c r="U6" s="546" t="s">
        <v>816</v>
      </c>
      <c r="V6" s="546" t="s">
        <v>817</v>
      </c>
      <c r="W6" s="546" t="s">
        <v>818</v>
      </c>
      <c r="X6" s="616" t="s">
        <v>819</v>
      </c>
      <c r="Y6" s="616" t="s">
        <v>820</v>
      </c>
      <c r="Z6" s="616" t="s">
        <v>821</v>
      </c>
      <c r="AA6" s="616" t="s">
        <v>822</v>
      </c>
      <c r="AB6" s="546" t="s">
        <v>823</v>
      </c>
      <c r="AC6" s="546" t="s">
        <v>824</v>
      </c>
      <c r="AD6" s="546" t="s">
        <v>825</v>
      </c>
      <c r="AE6" s="616" t="s">
        <v>826</v>
      </c>
      <c r="AF6" s="546" t="s">
        <v>827</v>
      </c>
      <c r="AG6" s="546" t="s">
        <v>828</v>
      </c>
      <c r="AH6" s="546" t="s">
        <v>115</v>
      </c>
      <c r="AI6" s="546" t="s">
        <v>829</v>
      </c>
      <c r="AJ6" s="546" t="s">
        <v>116</v>
      </c>
      <c r="AK6" s="546" t="s">
        <v>830</v>
      </c>
      <c r="AL6" s="546" t="s">
        <v>831</v>
      </c>
      <c r="AM6" s="546" t="s">
        <v>832</v>
      </c>
      <c r="AN6" s="546" t="s">
        <v>833</v>
      </c>
      <c r="AO6" s="546" t="s">
        <v>834</v>
      </c>
      <c r="AP6" s="546" t="s">
        <v>835</v>
      </c>
      <c r="AQ6" s="546" t="s">
        <v>836</v>
      </c>
      <c r="AR6" s="546" t="s">
        <v>112</v>
      </c>
      <c r="AS6" s="546" t="s">
        <v>117</v>
      </c>
      <c r="AT6" s="546" t="s">
        <v>837</v>
      </c>
      <c r="AU6" s="546" t="s">
        <v>838</v>
      </c>
      <c r="AV6" s="546" t="s">
        <v>839</v>
      </c>
    </row>
    <row r="7" spans="1:48" s="88" customFormat="1" ht="29.25" customHeight="1" x14ac:dyDescent="0.2">
      <c r="A7" s="617">
        <v>396211</v>
      </c>
      <c r="B7" s="617" t="s">
        <v>840</v>
      </c>
      <c r="C7" s="618" t="s">
        <v>841</v>
      </c>
      <c r="D7" s="619">
        <f>VLOOKUP($A7,'8A_2.1.21 RSD Op &amp; 5s'!$A$4:$F$10,COLUMN('8A_2.1.21 RSD Op &amp; 5s'!$F:$F),FALSE)</f>
        <v>935</v>
      </c>
      <c r="E7" s="620">
        <f>'9_Per Pupil Summary'!$Q$14</f>
        <v>4777.8289218498185</v>
      </c>
      <c r="F7" s="621">
        <f>D7*E7</f>
        <v>4467270.0419295803</v>
      </c>
      <c r="G7" s="622">
        <f>'9_Per Pupil Summary'!$G$14</f>
        <v>744.76</v>
      </c>
      <c r="H7" s="621">
        <f>G7*D7</f>
        <v>696350.6</v>
      </c>
      <c r="I7" s="623">
        <f>ROUND(F7+H7,0)</f>
        <v>5163621</v>
      </c>
      <c r="J7" s="624"/>
      <c r="K7" s="624"/>
      <c r="L7" s="625">
        <f>SUM(J7:K7)</f>
        <v>0</v>
      </c>
      <c r="M7" s="623">
        <f>L7+I7</f>
        <v>5163621</v>
      </c>
      <c r="N7" s="626"/>
      <c r="O7" s="626"/>
      <c r="P7" s="624">
        <f>N7+O7</f>
        <v>0</v>
      </c>
      <c r="Q7" s="623">
        <f>M7+P7</f>
        <v>5163621</v>
      </c>
      <c r="R7" s="624">
        <f>VLOOKUP($A7,[1]LEA_Summary!$A$7:$O$139,COLUMN([1]LEA_Summary!$I:$I),FALSE)</f>
        <v>5905</v>
      </c>
      <c r="S7" s="623">
        <f>SUM(Q7:R7)</f>
        <v>5169526</v>
      </c>
      <c r="T7" s="624">
        <f>VLOOKUP($A7,'4_Level 4'!$A$7:$AP$139,COLUMN('4_Level 4'!$E:$E),FALSE)</f>
        <v>0</v>
      </c>
      <c r="U7" s="624">
        <f>VLOOKUP($A7,'4_Level 4'!$A$7:$AP$139,COLUMN('4_Level 4'!$Q:$Q),FALSE)</f>
        <v>11505</v>
      </c>
      <c r="V7" s="624">
        <f>VLOOKUP($A7,'4_Level 4'!$A$7:$AP$139,COLUMN('4_Level 4'!$AC:$AC),FALSE)</f>
        <v>133732</v>
      </c>
      <c r="W7" s="624">
        <f>VLOOKUP($A7,'4_Level 4'!$A$7:$AP$139,COLUMN('4_Level 4'!$AO:$AO),FALSE)</f>
        <v>106988</v>
      </c>
      <c r="X7" s="623">
        <f>ROUND(SUM(S7:W7),0)</f>
        <v>5421751</v>
      </c>
      <c r="Y7" s="622"/>
      <c r="Z7" s="622">
        <f>X7-Y7</f>
        <v>5421751</v>
      </c>
      <c r="AA7" s="623">
        <f>ROUND(Z7/$AA$21,0)</f>
        <v>451813</v>
      </c>
      <c r="AB7" s="624">
        <f>VLOOKUP($A7,'4_Level 4'!$A$7:$AP$139,COLUMN('4_Level 4'!$J:$J),FALSE)</f>
        <v>0</v>
      </c>
      <c r="AC7" s="624">
        <f>VLOOKUP($A7,'4_Level 4'!$A$7:$AP$139,COLUMN('4_Level 4'!$L:$L),FALSE)</f>
        <v>0</v>
      </c>
      <c r="AD7" s="624">
        <f>VLOOKUP($A7,'4_Level 4'!$A$7:$AP$139,COLUMN('4_Level 4'!$M:$M),FALSE)</f>
        <v>0</v>
      </c>
      <c r="AE7" s="623">
        <f>X7+AB7+AC7+AD7</f>
        <v>5421751</v>
      </c>
      <c r="AF7" s="624">
        <f>'9_Per Pupil Summary'!M14</f>
        <v>5184</v>
      </c>
      <c r="AG7" s="627">
        <f>AF7*D7</f>
        <v>4847040</v>
      </c>
      <c r="AH7" s="628"/>
      <c r="AI7" s="621">
        <f>ROUND(AF7*AH7,0)</f>
        <v>0</v>
      </c>
      <c r="AJ7" s="628"/>
      <c r="AK7" s="621">
        <f>ROUND(AF7*AJ7*0.5,0)</f>
        <v>0</v>
      </c>
      <c r="AL7" s="625">
        <f>AK7+AI7</f>
        <v>0</v>
      </c>
      <c r="AM7" s="627">
        <f>AG7+AL7</f>
        <v>4847040</v>
      </c>
      <c r="AN7" s="626"/>
      <c r="AO7" s="626"/>
      <c r="AP7" s="621">
        <f>AN7+AO7</f>
        <v>0</v>
      </c>
      <c r="AQ7" s="627">
        <f>AM7+AP7</f>
        <v>4847040</v>
      </c>
      <c r="AR7" s="624">
        <f>VLOOKUP($A7,[1]LEA_Summary!$A$7:$O$139,COLUMN([1]LEA_Summary!$O:$O),FALSE)</f>
        <v>-2360</v>
      </c>
      <c r="AS7" s="627">
        <f>ROUND(SUM(AQ7:AR7),0)</f>
        <v>4844680</v>
      </c>
      <c r="AT7" s="622"/>
      <c r="AU7" s="622">
        <f>AS7-AT7</f>
        <v>4844680</v>
      </c>
      <c r="AV7" s="627">
        <f>ROUND(AU7/$AV$21,0)</f>
        <v>403723</v>
      </c>
    </row>
    <row r="8" spans="1:48" s="88" customFormat="1" ht="29.25" customHeight="1" x14ac:dyDescent="0.2">
      <c r="A8" s="629" t="s">
        <v>607</v>
      </c>
      <c r="B8" s="629" t="s">
        <v>842</v>
      </c>
      <c r="C8" s="618" t="s">
        <v>843</v>
      </c>
      <c r="D8" s="619">
        <f>VLOOKUP($A8,'8A_2.1.21 RSD Op &amp; 5s'!$A$4:$F$10,COLUMN('8A_2.1.21 RSD Op &amp; 5s'!$F:$F),FALSE)</f>
        <v>337</v>
      </c>
      <c r="E8" s="620">
        <f>'9_Per Pupil Summary'!$Q$22</f>
        <v>3588.1668992093551</v>
      </c>
      <c r="F8" s="621">
        <f>D8*E8</f>
        <v>1209212.2450335526</v>
      </c>
      <c r="G8" s="622">
        <f>'9_Per Pupil Summary'!$G$22</f>
        <v>801.48</v>
      </c>
      <c r="H8" s="621">
        <f>G8*D8</f>
        <v>270098.76</v>
      </c>
      <c r="I8" s="623">
        <f>ROUND(F8+H8,0)</f>
        <v>1479311</v>
      </c>
      <c r="J8" s="624"/>
      <c r="K8" s="624"/>
      <c r="L8" s="625">
        <f>SUM(J8:K8)</f>
        <v>0</v>
      </c>
      <c r="M8" s="623">
        <f>L8+I8</f>
        <v>1479311</v>
      </c>
      <c r="N8" s="626"/>
      <c r="O8" s="626"/>
      <c r="P8" s="624">
        <f>N8+O8</f>
        <v>0</v>
      </c>
      <c r="Q8" s="623">
        <f>M8+P8</f>
        <v>1479311</v>
      </c>
      <c r="R8" s="624">
        <f>VLOOKUP($A8,[1]LEA_Summary!$A$7:$O$139,COLUMN([1]LEA_Summary!$I:$I),FALSE)</f>
        <v>-4675</v>
      </c>
      <c r="S8" s="623">
        <f>SUM(Q8:R8)</f>
        <v>1474636</v>
      </c>
      <c r="T8" s="624">
        <f>VLOOKUP($A8,'4_Level 4'!$A$7:$AP$139,COLUMN('4_Level 4'!$E:$E),FALSE)</f>
        <v>0</v>
      </c>
      <c r="U8" s="624">
        <f>VLOOKUP($A8,'4_Level 4'!$A$7:$AP$139,COLUMN('4_Level 4'!$Q:$Q),FALSE)</f>
        <v>19883</v>
      </c>
      <c r="V8" s="624">
        <f>VLOOKUP($A8,'4_Level 4'!$A$7:$AP$139,COLUMN('4_Level 4'!$AC:$AC),FALSE)</f>
        <v>38274</v>
      </c>
      <c r="W8" s="624">
        <f>VLOOKUP($A8,'4_Level 4'!$A$7:$AP$139,COLUMN('4_Level 4'!$AO:$AO),FALSE)</f>
        <v>30619</v>
      </c>
      <c r="X8" s="623">
        <f>ROUND(SUM(S8:W8),0)</f>
        <v>1563412</v>
      </c>
      <c r="Y8" s="622"/>
      <c r="Z8" s="622">
        <f>X8-Y8</f>
        <v>1563412</v>
      </c>
      <c r="AA8" s="623">
        <f>ROUND(Z8/$AA$21,0)</f>
        <v>130284</v>
      </c>
      <c r="AB8" s="624">
        <f>VLOOKUP($A8,'4_Level 4'!$A$7:$AP$139,COLUMN('4_Level 4'!$J:$J),FALSE)</f>
        <v>0</v>
      </c>
      <c r="AC8" s="624">
        <f>VLOOKUP($A8,'4_Level 4'!$A$7:$AP$139,COLUMN('4_Level 4'!$L:$L),FALSE)</f>
        <v>41573</v>
      </c>
      <c r="AD8" s="624">
        <f>VLOOKUP($A8,'4_Level 4'!$A$7:$AP$139,COLUMN('4_Level 4'!$M:$M),FALSE)</f>
        <v>0</v>
      </c>
      <c r="AE8" s="623">
        <f>X8+AB8+AC8+AD8</f>
        <v>1604985</v>
      </c>
      <c r="AF8" s="624">
        <f>'9_Per Pupil Summary'!$M$22</f>
        <v>6927</v>
      </c>
      <c r="AG8" s="627">
        <f>AF8*D8</f>
        <v>2334399</v>
      </c>
      <c r="AH8" s="628"/>
      <c r="AI8" s="621">
        <f>ROUND(AF8*AH8,0)</f>
        <v>0</v>
      </c>
      <c r="AJ8" s="628"/>
      <c r="AK8" s="621">
        <f>ROUND(AF8*AJ8*0.5,0)</f>
        <v>0</v>
      </c>
      <c r="AL8" s="625">
        <f>AK8+AI8</f>
        <v>0</v>
      </c>
      <c r="AM8" s="627">
        <f>AG8+AL8</f>
        <v>2334399</v>
      </c>
      <c r="AN8" s="626"/>
      <c r="AO8" s="626"/>
      <c r="AP8" s="621">
        <f>AN8+AO8</f>
        <v>0</v>
      </c>
      <c r="AQ8" s="627">
        <f>AM8+AP8</f>
        <v>2334399</v>
      </c>
      <c r="AR8" s="624">
        <f>VLOOKUP($A8,[1]LEA_Summary!$A$7:$O$139,COLUMN([1]LEA_Summary!$O:$O),FALSE)</f>
        <v>-13234</v>
      </c>
      <c r="AS8" s="627">
        <f>ROUND(SUM(AQ8:AR8),0)</f>
        <v>2321165</v>
      </c>
      <c r="AT8" s="622"/>
      <c r="AU8" s="622">
        <f>AS8-AT8</f>
        <v>2321165</v>
      </c>
      <c r="AV8" s="627">
        <f>ROUND(AU8/$AV$21,0)</f>
        <v>193430</v>
      </c>
    </row>
    <row r="9" spans="1:48" s="642" customFormat="1" ht="29.25" customHeight="1" thickBot="1" x14ac:dyDescent="0.25">
      <c r="A9" s="630"/>
      <c r="B9" s="631" t="s">
        <v>844</v>
      </c>
      <c r="C9" s="632" t="s">
        <v>845</v>
      </c>
      <c r="D9" s="633">
        <f>SUM(D7:D8)</f>
        <v>1272</v>
      </c>
      <c r="E9" s="634"/>
      <c r="F9" s="635">
        <f>SUM(F7:F8)</f>
        <v>5676482.2869631331</v>
      </c>
      <c r="G9" s="636"/>
      <c r="H9" s="635">
        <f t="shared" ref="H9:AE9" si="1">SUM(H7:H8)</f>
        <v>966449.36</v>
      </c>
      <c r="I9" s="637">
        <f t="shared" si="1"/>
        <v>6642932</v>
      </c>
      <c r="J9" s="636">
        <f t="shared" si="1"/>
        <v>0</v>
      </c>
      <c r="K9" s="636">
        <f>SUM(K7:K8)</f>
        <v>0</v>
      </c>
      <c r="L9" s="638">
        <f t="shared" si="1"/>
        <v>0</v>
      </c>
      <c r="M9" s="637">
        <f t="shared" si="1"/>
        <v>6642932</v>
      </c>
      <c r="N9" s="636">
        <f t="shared" si="1"/>
        <v>0</v>
      </c>
      <c r="O9" s="636">
        <f t="shared" si="1"/>
        <v>0</v>
      </c>
      <c r="P9" s="636">
        <f t="shared" si="1"/>
        <v>0</v>
      </c>
      <c r="Q9" s="637">
        <f t="shared" si="1"/>
        <v>6642932</v>
      </c>
      <c r="R9" s="635">
        <f t="shared" si="1"/>
        <v>1230</v>
      </c>
      <c r="S9" s="637">
        <f t="shared" si="1"/>
        <v>6644162</v>
      </c>
      <c r="T9" s="635">
        <f t="shared" si="1"/>
        <v>0</v>
      </c>
      <c r="U9" s="635">
        <f t="shared" si="1"/>
        <v>31388</v>
      </c>
      <c r="V9" s="635">
        <f t="shared" si="1"/>
        <v>172006</v>
      </c>
      <c r="W9" s="635">
        <f t="shared" si="1"/>
        <v>137607</v>
      </c>
      <c r="X9" s="637">
        <f t="shared" si="1"/>
        <v>6985163</v>
      </c>
      <c r="Y9" s="639">
        <f t="shared" si="1"/>
        <v>0</v>
      </c>
      <c r="Z9" s="639">
        <f t="shared" si="1"/>
        <v>6985163</v>
      </c>
      <c r="AA9" s="637">
        <f t="shared" si="1"/>
        <v>582097</v>
      </c>
      <c r="AB9" s="635">
        <f t="shared" si="1"/>
        <v>0</v>
      </c>
      <c r="AC9" s="635">
        <f t="shared" si="1"/>
        <v>41573</v>
      </c>
      <c r="AD9" s="635">
        <f t="shared" si="1"/>
        <v>0</v>
      </c>
      <c r="AE9" s="637">
        <f t="shared" si="1"/>
        <v>7026736</v>
      </c>
      <c r="AF9" s="635"/>
      <c r="AG9" s="640">
        <f t="shared" ref="AG9:AV9" si="2">SUM(AG7:AG8)</f>
        <v>7181439</v>
      </c>
      <c r="AH9" s="641">
        <f t="shared" si="2"/>
        <v>0</v>
      </c>
      <c r="AI9" s="635">
        <f t="shared" si="2"/>
        <v>0</v>
      </c>
      <c r="AJ9" s="641">
        <f>SUM(AJ7:AJ8)</f>
        <v>0</v>
      </c>
      <c r="AK9" s="635">
        <f t="shared" si="2"/>
        <v>0</v>
      </c>
      <c r="AL9" s="638">
        <f t="shared" si="2"/>
        <v>0</v>
      </c>
      <c r="AM9" s="640">
        <f t="shared" si="2"/>
        <v>7181439</v>
      </c>
      <c r="AN9" s="635">
        <f t="shared" si="2"/>
        <v>0</v>
      </c>
      <c r="AO9" s="635">
        <f t="shared" si="2"/>
        <v>0</v>
      </c>
      <c r="AP9" s="635">
        <f t="shared" si="2"/>
        <v>0</v>
      </c>
      <c r="AQ9" s="640">
        <f t="shared" si="2"/>
        <v>7181439</v>
      </c>
      <c r="AR9" s="635">
        <f t="shared" si="2"/>
        <v>-15594</v>
      </c>
      <c r="AS9" s="640">
        <f t="shared" si="2"/>
        <v>7165845</v>
      </c>
      <c r="AT9" s="639">
        <f t="shared" si="2"/>
        <v>0</v>
      </c>
      <c r="AU9" s="639">
        <f t="shared" si="2"/>
        <v>7165845</v>
      </c>
      <c r="AV9" s="640">
        <f t="shared" si="2"/>
        <v>597153</v>
      </c>
    </row>
    <row r="10" spans="1:48" s="88" customFormat="1" ht="9.75" customHeight="1" x14ac:dyDescent="0.2">
      <c r="A10" s="643"/>
      <c r="B10" s="643"/>
      <c r="C10" s="644"/>
      <c r="D10" s="645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626"/>
      <c r="AD10" s="626"/>
      <c r="AE10" s="626"/>
      <c r="AF10" s="626"/>
      <c r="AG10" s="626"/>
      <c r="AH10" s="646"/>
      <c r="AI10" s="626"/>
      <c r="AJ10" s="646"/>
      <c r="AK10" s="626"/>
      <c r="AL10" s="626"/>
      <c r="AM10" s="626"/>
      <c r="AN10" s="626"/>
      <c r="AO10" s="626"/>
      <c r="AP10" s="626"/>
      <c r="AQ10" s="626"/>
      <c r="AR10" s="626"/>
      <c r="AS10" s="626"/>
      <c r="AT10" s="626"/>
      <c r="AU10" s="626"/>
      <c r="AV10" s="626"/>
    </row>
    <row r="11" spans="1:48" s="88" customFormat="1" ht="21.75" customHeight="1" x14ac:dyDescent="0.2">
      <c r="A11" s="629" t="s">
        <v>609</v>
      </c>
      <c r="B11" s="629" t="s">
        <v>610</v>
      </c>
      <c r="C11" s="618" t="s">
        <v>611</v>
      </c>
      <c r="D11" s="619">
        <f>VLOOKUP($A11,'8A_2.1.21 RSD Op &amp; 5s'!$A$4:$F$10,COLUMN('8A_2.1.21 RSD Op &amp; 5s'!$F:$F),FALSE)</f>
        <v>226</v>
      </c>
      <c r="E11" s="620">
        <f>'9_Per Pupil Summary'!$Q$22</f>
        <v>3588.1668992093551</v>
      </c>
      <c r="F11" s="621">
        <f>D11*E11</f>
        <v>810925.7192213143</v>
      </c>
      <c r="G11" s="622">
        <f>'9_Per Pupil Summary'!$G$22</f>
        <v>801.48</v>
      </c>
      <c r="H11" s="621">
        <f>G11*D11</f>
        <v>181134.48</v>
      </c>
      <c r="I11" s="623">
        <f t="shared" ref="I11:I15" si="3">ROUND(F11+H11,0)</f>
        <v>992060</v>
      </c>
      <c r="J11" s="624"/>
      <c r="K11" s="624"/>
      <c r="L11" s="625">
        <f>SUM(J11:K11)</f>
        <v>0</v>
      </c>
      <c r="M11" s="623">
        <f>L11+I11</f>
        <v>992060</v>
      </c>
      <c r="N11" s="624">
        <f>ROUND(M11*-1.75%,0)</f>
        <v>-17361</v>
      </c>
      <c r="O11" s="624">
        <f>ROUND(M11*-0.25%,0)</f>
        <v>-2480</v>
      </c>
      <c r="P11" s="624">
        <f>N11+O11</f>
        <v>-19841</v>
      </c>
      <c r="Q11" s="623">
        <f>M11+P11</f>
        <v>972219</v>
      </c>
      <c r="R11" s="624">
        <f>VLOOKUP($A11,[1]LEA_Summary!$A$7:$O$139,COLUMN([1]LEA_Summary!$I:$I),FALSE)</f>
        <v>-2109</v>
      </c>
      <c r="S11" s="623">
        <f>SUM(Q11:R11)</f>
        <v>970110</v>
      </c>
      <c r="T11" s="624">
        <f>VLOOKUP($A11,'4_Level 4'!$A$7:$AP$139,COLUMN('4_Level 4'!$E:$E),FALSE)</f>
        <v>0</v>
      </c>
      <c r="U11" s="624">
        <f>VLOOKUP($A11,'4_Level 4'!$A$7:$AP$139,COLUMN('4_Level 4'!$Q:$Q),FALSE)</f>
        <v>0</v>
      </c>
      <c r="V11" s="624">
        <f>VLOOKUP($A11,'4_Level 4'!$A$7:$AP$139,COLUMN('4_Level 4'!$AC:$AC),FALSE)</f>
        <v>23726</v>
      </c>
      <c r="W11" s="624">
        <f>VLOOKUP($A11,'4_Level 4'!$A$7:$AP$139,COLUMN('4_Level 4'!$AO:$AO),FALSE)</f>
        <v>18980</v>
      </c>
      <c r="X11" s="623">
        <f t="shared" ref="X11:X15" si="4">ROUND(SUM(S11:W11),0)</f>
        <v>1012816</v>
      </c>
      <c r="Y11" s="622"/>
      <c r="Z11" s="622">
        <f>X11-Y11</f>
        <v>1012816</v>
      </c>
      <c r="AA11" s="623">
        <f>ROUND(Z11/$AA$21,0)</f>
        <v>84401</v>
      </c>
      <c r="AB11" s="624">
        <f>VLOOKUP($A11,'4_Level 4'!$A$7:$AP$139,COLUMN('4_Level 4'!$J:$J),FALSE)</f>
        <v>0</v>
      </c>
      <c r="AC11" s="624">
        <f>VLOOKUP($A11,'4_Level 4'!$A$7:$AP$139,COLUMN('4_Level 4'!$L:$L),FALSE)</f>
        <v>0</v>
      </c>
      <c r="AD11" s="624">
        <f>VLOOKUP($A11,'4_Level 4'!$A$7:$AP$139,COLUMN('4_Level 4'!$M:$M),FALSE)</f>
        <v>0</v>
      </c>
      <c r="AE11" s="623">
        <f t="shared" ref="AE11:AE15" si="5">X11+AB11+AC11+AD11</f>
        <v>1012816</v>
      </c>
      <c r="AF11" s="624">
        <f>'9_Per Pupil Summary'!$M$22</f>
        <v>6927</v>
      </c>
      <c r="AG11" s="627">
        <f>AF11*D11</f>
        <v>1565502</v>
      </c>
      <c r="AH11" s="628"/>
      <c r="AI11" s="621">
        <f>ROUND(AF11*AH11,0)</f>
        <v>0</v>
      </c>
      <c r="AJ11" s="628"/>
      <c r="AK11" s="621">
        <f>ROUND(AF11*AJ11*0.5,0)</f>
        <v>0</v>
      </c>
      <c r="AL11" s="625">
        <f>AK11+AI11</f>
        <v>0</v>
      </c>
      <c r="AM11" s="627">
        <f>AG11+AL11</f>
        <v>1565502</v>
      </c>
      <c r="AN11" s="621">
        <f>ROUND(-AM11*0.0175,0)</f>
        <v>-27396</v>
      </c>
      <c r="AO11" s="621">
        <f>ROUND(-AM11*0.0025,0)</f>
        <v>-3914</v>
      </c>
      <c r="AP11" s="621">
        <f>AN11+AO11</f>
        <v>-31310</v>
      </c>
      <c r="AQ11" s="627">
        <f>AM11+AP11</f>
        <v>1534192</v>
      </c>
      <c r="AR11" s="624">
        <f>VLOOKUP($A11,[1]LEA_Summary!$A$7:$O$139,COLUMN([1]LEA_Summary!$O:$O),FALSE)</f>
        <v>-3308</v>
      </c>
      <c r="AS11" s="627">
        <f>ROUND(SUM(AQ11:AR11),0)</f>
        <v>1530884</v>
      </c>
      <c r="AT11" s="622"/>
      <c r="AU11" s="622">
        <f>AS11-AT11</f>
        <v>1530884</v>
      </c>
      <c r="AV11" s="627">
        <f>ROUND(AU11/$AV$21,0)</f>
        <v>127574</v>
      </c>
    </row>
    <row r="12" spans="1:48" s="88" customFormat="1" ht="21.75" customHeight="1" x14ac:dyDescent="0.2">
      <c r="A12" s="629" t="s">
        <v>612</v>
      </c>
      <c r="B12" s="629" t="s">
        <v>613</v>
      </c>
      <c r="C12" s="618" t="s">
        <v>614</v>
      </c>
      <c r="D12" s="619">
        <f>VLOOKUP($A12,'8A_2.1.21 RSD Op &amp; 5s'!$A$4:$F$10,COLUMN('8A_2.1.21 RSD Op &amp; 5s'!$F:$F),FALSE)</f>
        <v>249</v>
      </c>
      <c r="E12" s="620">
        <f>'9_Per Pupil Summary'!$Q$22</f>
        <v>3588.1668992093551</v>
      </c>
      <c r="F12" s="621">
        <f>D12*E12</f>
        <v>893453.55790312937</v>
      </c>
      <c r="G12" s="621">
        <f>'9_Per Pupil Summary'!$G$22</f>
        <v>801.48</v>
      </c>
      <c r="H12" s="621">
        <f>G12*D12</f>
        <v>199568.52000000002</v>
      </c>
      <c r="I12" s="623">
        <f t="shared" si="3"/>
        <v>1093022</v>
      </c>
      <c r="J12" s="624"/>
      <c r="K12" s="624"/>
      <c r="L12" s="625">
        <f>SUM(J12:K12)</f>
        <v>0</v>
      </c>
      <c r="M12" s="623">
        <f>L12+I12</f>
        <v>1093022</v>
      </c>
      <c r="N12" s="624">
        <f>ROUND(M12*-1.75%,0)</f>
        <v>-19128</v>
      </c>
      <c r="O12" s="624">
        <f>ROUND(M12*-0.25%,0)</f>
        <v>-2733</v>
      </c>
      <c r="P12" s="624">
        <f>N12+O12</f>
        <v>-21861</v>
      </c>
      <c r="Q12" s="623">
        <f>M12+P12</f>
        <v>1071161</v>
      </c>
      <c r="R12" s="624">
        <f>VLOOKUP($A12,[1]LEA_Summary!$A$7:$O$139,COLUMN([1]LEA_Summary!$I:$I),FALSE)</f>
        <v>0</v>
      </c>
      <c r="S12" s="623">
        <f>SUM(Q12:R12)</f>
        <v>1071161</v>
      </c>
      <c r="T12" s="624">
        <f>VLOOKUP($A12,'4_Level 4'!$A$7:$AP$139,COLUMN('4_Level 4'!$E:$E),FALSE)</f>
        <v>0</v>
      </c>
      <c r="U12" s="624">
        <f>VLOOKUP($A12,'4_Level 4'!$A$7:$AP$139,COLUMN('4_Level 4'!$Q:$Q),FALSE)</f>
        <v>0</v>
      </c>
      <c r="V12" s="624">
        <f>VLOOKUP($A12,'4_Level 4'!$A$7:$AP$139,COLUMN('4_Level 4'!$AC:$AC),FALSE)</f>
        <v>25621</v>
      </c>
      <c r="W12" s="624">
        <f>VLOOKUP($A12,'4_Level 4'!$A$7:$AP$139,COLUMN('4_Level 4'!$AO:$AO),FALSE)</f>
        <v>20495</v>
      </c>
      <c r="X12" s="623">
        <f t="shared" si="4"/>
        <v>1117277</v>
      </c>
      <c r="Y12" s="622"/>
      <c r="Z12" s="622">
        <f>X12-Y12</f>
        <v>1117277</v>
      </c>
      <c r="AA12" s="623">
        <f>ROUND(Z12/$AA$21,0)</f>
        <v>93106</v>
      </c>
      <c r="AB12" s="624">
        <f>VLOOKUP($A12,'4_Level 4'!$A$7:$AP$139,COLUMN('4_Level 4'!$J:$J),FALSE)</f>
        <v>0</v>
      </c>
      <c r="AC12" s="624">
        <f>VLOOKUP($A12,'4_Level 4'!$A$7:$AP$139,COLUMN('4_Level 4'!$L:$L),FALSE)</f>
        <v>0</v>
      </c>
      <c r="AD12" s="624">
        <f>VLOOKUP($A12,'4_Level 4'!$A$7:$AP$139,COLUMN('4_Level 4'!$M:$M),FALSE)</f>
        <v>0</v>
      </c>
      <c r="AE12" s="623">
        <f t="shared" si="5"/>
        <v>1117277</v>
      </c>
      <c r="AF12" s="624">
        <f>'9_Per Pupil Summary'!$M$22</f>
        <v>6927</v>
      </c>
      <c r="AG12" s="627">
        <f>AF12*D12</f>
        <v>1724823</v>
      </c>
      <c r="AH12" s="628"/>
      <c r="AI12" s="621">
        <f>ROUND(AF12*AH12,0)</f>
        <v>0</v>
      </c>
      <c r="AJ12" s="628"/>
      <c r="AK12" s="621">
        <f>ROUND(AF12*AJ12*0.5,0)</f>
        <v>0</v>
      </c>
      <c r="AL12" s="625">
        <f>AK12+AI12</f>
        <v>0</v>
      </c>
      <c r="AM12" s="627">
        <f>AG12+AL12</f>
        <v>1724823</v>
      </c>
      <c r="AN12" s="621">
        <f>ROUND(-AM12*0.0175,0)</f>
        <v>-30184</v>
      </c>
      <c r="AO12" s="621">
        <f>ROUND(-AM12*0.0025,0)</f>
        <v>-4312</v>
      </c>
      <c r="AP12" s="621">
        <f>AN12+AO12</f>
        <v>-34496</v>
      </c>
      <c r="AQ12" s="627">
        <f>AM12+AP12</f>
        <v>1690327</v>
      </c>
      <c r="AR12" s="624">
        <f>VLOOKUP($A12,[1]LEA_Summary!$A$7:$O$139,COLUMN([1]LEA_Summary!$O:$O),FALSE)</f>
        <v>0</v>
      </c>
      <c r="AS12" s="627">
        <f>ROUND(SUM(AQ12:AR12),0)</f>
        <v>1690327</v>
      </c>
      <c r="AT12" s="622"/>
      <c r="AU12" s="622">
        <f>AS12-AT12</f>
        <v>1690327</v>
      </c>
      <c r="AV12" s="627">
        <f>ROUND(AU12/$AV$21,0)</f>
        <v>140861</v>
      </c>
    </row>
    <row r="13" spans="1:48" s="88" customFormat="1" ht="21.75" customHeight="1" x14ac:dyDescent="0.2">
      <c r="A13" s="629" t="s">
        <v>615</v>
      </c>
      <c r="B13" s="629" t="s">
        <v>615</v>
      </c>
      <c r="C13" s="618" t="s">
        <v>616</v>
      </c>
      <c r="D13" s="619">
        <f>VLOOKUP($A13,'8A_2.1.21 RSD Op &amp; 5s'!$A$4:$F$10,COLUMN('8A_2.1.21 RSD Op &amp; 5s'!$F:$F),FALSE)</f>
        <v>525</v>
      </c>
      <c r="E13" s="620">
        <f>'9_Per Pupil Summary'!$Q$22</f>
        <v>3588.1668992093551</v>
      </c>
      <c r="F13" s="621">
        <f>D13*E13</f>
        <v>1883787.6220849114</v>
      </c>
      <c r="G13" s="622">
        <f>'9_Per Pupil Summary'!$G$22</f>
        <v>801.48</v>
      </c>
      <c r="H13" s="621">
        <f>G13*D13</f>
        <v>420777</v>
      </c>
      <c r="I13" s="623">
        <f t="shared" si="3"/>
        <v>2304565</v>
      </c>
      <c r="J13" s="624"/>
      <c r="K13" s="624"/>
      <c r="L13" s="625">
        <f>SUM(J13:K13)</f>
        <v>0</v>
      </c>
      <c r="M13" s="623">
        <f>L13+I13</f>
        <v>2304565</v>
      </c>
      <c r="N13" s="624">
        <f>ROUND(M13*-1.75%,0)</f>
        <v>-40330</v>
      </c>
      <c r="O13" s="624">
        <f>ROUND(M13*-0.25%,0)</f>
        <v>-5761</v>
      </c>
      <c r="P13" s="624">
        <f>N13+O13</f>
        <v>-46091</v>
      </c>
      <c r="Q13" s="623">
        <f>M13+P13</f>
        <v>2258474</v>
      </c>
      <c r="R13" s="624">
        <f>VLOOKUP($A13,[1]LEA_Summary!$A$7:$O$139,COLUMN([1]LEA_Summary!$I:$I),FALSE)</f>
        <v>2603</v>
      </c>
      <c r="S13" s="623">
        <f>SUM(Q13:R13)</f>
        <v>2261077</v>
      </c>
      <c r="T13" s="624">
        <f>VLOOKUP($A13,'4_Level 4'!$A$7:$AP$139,COLUMN('4_Level 4'!$E:$E),FALSE)</f>
        <v>0</v>
      </c>
      <c r="U13" s="624">
        <f>VLOOKUP($A13,'4_Level 4'!$A$7:$AP$139,COLUMN('4_Level 4'!$Q:$Q),FALSE)</f>
        <v>6962</v>
      </c>
      <c r="V13" s="624">
        <f>VLOOKUP($A13,'4_Level 4'!$A$7:$AP$139,COLUMN('4_Level 4'!$AC:$AC),FALSE)</f>
        <v>53987</v>
      </c>
      <c r="W13" s="624">
        <f>VLOOKUP($A13,'4_Level 4'!$A$7:$AP$139,COLUMN('4_Level 4'!$AO:$AO),FALSE)</f>
        <v>43190</v>
      </c>
      <c r="X13" s="623">
        <f t="shared" si="4"/>
        <v>2365216</v>
      </c>
      <c r="Y13" s="622"/>
      <c r="Z13" s="622">
        <f>X13-Y13</f>
        <v>2365216</v>
      </c>
      <c r="AA13" s="623">
        <f>ROUND(Z13/$AA$21,0)</f>
        <v>197101</v>
      </c>
      <c r="AB13" s="624">
        <f>VLOOKUP($A13,'4_Level 4'!$A$7:$AP$139,COLUMN('4_Level 4'!$J:$J),FALSE)</f>
        <v>0</v>
      </c>
      <c r="AC13" s="624">
        <f>VLOOKUP($A13,'4_Level 4'!$A$7:$AP$139,COLUMN('4_Level 4'!$L:$L),FALSE)</f>
        <v>0</v>
      </c>
      <c r="AD13" s="624">
        <f>VLOOKUP($A13,'4_Level 4'!$A$7:$AP$139,COLUMN('4_Level 4'!$M:$M),FALSE)</f>
        <v>0</v>
      </c>
      <c r="AE13" s="623">
        <f t="shared" si="5"/>
        <v>2365216</v>
      </c>
      <c r="AF13" s="624">
        <f>'9_Per Pupil Summary'!$M$22</f>
        <v>6927</v>
      </c>
      <c r="AG13" s="627">
        <f>AF13*D13</f>
        <v>3636675</v>
      </c>
      <c r="AH13" s="628"/>
      <c r="AI13" s="621">
        <f>ROUND(AF13*AH13,0)</f>
        <v>0</v>
      </c>
      <c r="AJ13" s="628"/>
      <c r="AK13" s="621">
        <f>ROUND(AF13*AJ13*0.5,0)</f>
        <v>0</v>
      </c>
      <c r="AL13" s="625">
        <f>AK13+AI13</f>
        <v>0</v>
      </c>
      <c r="AM13" s="627">
        <f>AG13+AL13</f>
        <v>3636675</v>
      </c>
      <c r="AN13" s="621">
        <f>ROUND(-AM13*0.0175,0)</f>
        <v>-63642</v>
      </c>
      <c r="AO13" s="621">
        <f>ROUND(-AM13*0.0025,0)</f>
        <v>-9092</v>
      </c>
      <c r="AP13" s="621">
        <f>AN13+AO13</f>
        <v>-72734</v>
      </c>
      <c r="AQ13" s="627">
        <f>AM13+AP13</f>
        <v>3563941</v>
      </c>
      <c r="AR13" s="624">
        <f>VLOOKUP($A13,[1]LEA_Summary!$A$7:$O$139,COLUMN([1]LEA_Summary!$O:$O),FALSE)</f>
        <v>6617</v>
      </c>
      <c r="AS13" s="627">
        <f>ROUND(SUM(AQ13:AR13),0)</f>
        <v>3570558</v>
      </c>
      <c r="AT13" s="622"/>
      <c r="AU13" s="622">
        <f>AS13-AT13</f>
        <v>3570558</v>
      </c>
      <c r="AV13" s="627">
        <f>ROUND(AU13/$AV$21,0)</f>
        <v>297547</v>
      </c>
    </row>
    <row r="14" spans="1:48" s="88" customFormat="1" ht="21.75" customHeight="1" x14ac:dyDescent="0.2">
      <c r="A14" s="617" t="s">
        <v>617</v>
      </c>
      <c r="B14" s="617">
        <v>389002</v>
      </c>
      <c r="C14" s="618" t="s">
        <v>846</v>
      </c>
      <c r="D14" s="619">
        <f>VLOOKUP($A14,'8A_2.1.21 RSD Op &amp; 5s'!$A$4:$F$10,COLUMN('8A_2.1.21 RSD Op &amp; 5s'!$F:$F),FALSE)</f>
        <v>389</v>
      </c>
      <c r="E14" s="620">
        <f>'9_Per Pupil Summary'!$Q$22</f>
        <v>3588.1668992093551</v>
      </c>
      <c r="F14" s="621">
        <f>D14*E14</f>
        <v>1395796.923792439</v>
      </c>
      <c r="G14" s="622">
        <f>'9_Per Pupil Summary'!$G$22</f>
        <v>801.48</v>
      </c>
      <c r="H14" s="621">
        <f>G14*D14</f>
        <v>311775.72000000003</v>
      </c>
      <c r="I14" s="623">
        <f t="shared" si="3"/>
        <v>1707573</v>
      </c>
      <c r="J14" s="624"/>
      <c r="K14" s="624"/>
      <c r="L14" s="625">
        <f>SUM(J14:K14)</f>
        <v>0</v>
      </c>
      <c r="M14" s="623">
        <f>L14+I14</f>
        <v>1707573</v>
      </c>
      <c r="N14" s="624">
        <f>ROUND(M14*-1.75%,0)</f>
        <v>-29883</v>
      </c>
      <c r="O14" s="624">
        <f>ROUND(M14*-0.25%,0)</f>
        <v>-4269</v>
      </c>
      <c r="P14" s="624">
        <f>N14+O14</f>
        <v>-34152</v>
      </c>
      <c r="Q14" s="623">
        <f>M14+P14</f>
        <v>1673421</v>
      </c>
      <c r="R14" s="624">
        <f>VLOOKUP($A14,[1]LEA_Summary!$A$7:$O$139,COLUMN([1]LEA_Summary!$I:$I),FALSE)</f>
        <v>0</v>
      </c>
      <c r="S14" s="623">
        <f>SUM(Q14:R14)</f>
        <v>1673421</v>
      </c>
      <c r="T14" s="624">
        <f>VLOOKUP($A14,'4_Level 4'!$A$7:$AP$139,COLUMN('4_Level 4'!$E:$E),FALSE)</f>
        <v>0</v>
      </c>
      <c r="U14" s="624">
        <f>VLOOKUP($A14,'4_Level 4'!$A$7:$AP$139,COLUMN('4_Level 4'!$Q:$Q),FALSE)</f>
        <v>16461</v>
      </c>
      <c r="V14" s="624">
        <f>VLOOKUP($A14,'4_Level 4'!$A$7:$AP$139,COLUMN('4_Level 4'!$AC:$AC),FALSE)</f>
        <v>54089</v>
      </c>
      <c r="W14" s="624">
        <f>VLOOKUP($A14,'4_Level 4'!$A$7:$AP$139,COLUMN('4_Level 4'!$AO:$AO),FALSE)</f>
        <v>43271</v>
      </c>
      <c r="X14" s="623">
        <f t="shared" si="4"/>
        <v>1787242</v>
      </c>
      <c r="Y14" s="622"/>
      <c r="Z14" s="622">
        <f>X14-Y14</f>
        <v>1787242</v>
      </c>
      <c r="AA14" s="623">
        <f>ROUND(Z14/$AA$21,0)</f>
        <v>148937</v>
      </c>
      <c r="AB14" s="624">
        <f>VLOOKUP($A14,'4_Level 4'!$A$7:$AP$139,COLUMN('4_Level 4'!$J:$J),FALSE)</f>
        <v>0</v>
      </c>
      <c r="AC14" s="624">
        <f>VLOOKUP($A14,'4_Level 4'!$A$7:$AP$139,COLUMN('4_Level 4'!$L:$L),FALSE)</f>
        <v>0</v>
      </c>
      <c r="AD14" s="624">
        <f>VLOOKUP($A14,'4_Level 4'!$A$7:$AP$139,COLUMN('4_Level 4'!$M:$M),FALSE)</f>
        <v>0</v>
      </c>
      <c r="AE14" s="623">
        <f t="shared" si="5"/>
        <v>1787242</v>
      </c>
      <c r="AF14" s="624">
        <f>'9_Per Pupil Summary'!$M$22</f>
        <v>6927</v>
      </c>
      <c r="AG14" s="627">
        <f>AF14*D14</f>
        <v>2694603</v>
      </c>
      <c r="AH14" s="628"/>
      <c r="AI14" s="621">
        <f>ROUND(AF14*AH14,0)</f>
        <v>0</v>
      </c>
      <c r="AJ14" s="628"/>
      <c r="AK14" s="621">
        <f>ROUND(AF14*AJ14*0.5,0)</f>
        <v>0</v>
      </c>
      <c r="AL14" s="625">
        <f>AK14+AI14</f>
        <v>0</v>
      </c>
      <c r="AM14" s="627">
        <f>AG14+AL14</f>
        <v>2694603</v>
      </c>
      <c r="AN14" s="621">
        <f>ROUND(-AM14*0.0175,0)</f>
        <v>-47156</v>
      </c>
      <c r="AO14" s="621">
        <f>ROUND(-AM14*0.0025,0)</f>
        <v>-6737</v>
      </c>
      <c r="AP14" s="621">
        <f>AN14+AO14</f>
        <v>-53893</v>
      </c>
      <c r="AQ14" s="627">
        <f>AM14+AP14</f>
        <v>2640710</v>
      </c>
      <c r="AR14" s="624">
        <f>VLOOKUP($A14,[1]LEA_Summary!$A$7:$O$139,COLUMN([1]LEA_Summary!$O:$O),FALSE)</f>
        <v>0</v>
      </c>
      <c r="AS14" s="627">
        <f>ROUND(SUM(AQ14:AR14),0)</f>
        <v>2640710</v>
      </c>
      <c r="AT14" s="622"/>
      <c r="AU14" s="622">
        <f>AS14-AT14</f>
        <v>2640710</v>
      </c>
      <c r="AV14" s="627">
        <f>ROUND(AU14/$AV$21,0)</f>
        <v>220059</v>
      </c>
    </row>
    <row r="15" spans="1:48" s="88" customFormat="1" ht="21.75" customHeight="1" x14ac:dyDescent="0.2">
      <c r="A15" s="629" t="s">
        <v>619</v>
      </c>
      <c r="B15" s="629" t="s">
        <v>620</v>
      </c>
      <c r="C15" s="618" t="s">
        <v>621</v>
      </c>
      <c r="D15" s="619">
        <f>VLOOKUP($A15,'8A_2.1.21 RSD Op &amp; 5s'!$A$4:$F$10,COLUMN('8A_2.1.21 RSD Op &amp; 5s'!$F:$F),FALSE)</f>
        <v>242</v>
      </c>
      <c r="E15" s="620">
        <f>'9_Per Pupil Summary'!$Q$22</f>
        <v>3588.1668992093551</v>
      </c>
      <c r="F15" s="621">
        <f>D15*E15</f>
        <v>868336.38960866397</v>
      </c>
      <c r="G15" s="622">
        <f>'9_Per Pupil Summary'!$G$22</f>
        <v>801.48</v>
      </c>
      <c r="H15" s="621">
        <f>G15*D15</f>
        <v>193958.16</v>
      </c>
      <c r="I15" s="623">
        <f t="shared" si="3"/>
        <v>1062295</v>
      </c>
      <c r="J15" s="624"/>
      <c r="K15" s="624"/>
      <c r="L15" s="625">
        <f>SUM(J15:K15)</f>
        <v>0</v>
      </c>
      <c r="M15" s="623">
        <f>L15+I15</f>
        <v>1062295</v>
      </c>
      <c r="N15" s="624">
        <f>ROUND(M15*-1.75%,0)</f>
        <v>-18590</v>
      </c>
      <c r="O15" s="624">
        <f>ROUND(M15*-0.25%,0)</f>
        <v>-2656</v>
      </c>
      <c r="P15" s="624">
        <f>N15+O15</f>
        <v>-21246</v>
      </c>
      <c r="Q15" s="623">
        <f>M15+P15</f>
        <v>1041049</v>
      </c>
      <c r="R15" s="624">
        <f>VLOOKUP($A15,[1]LEA_Summary!$A$7:$O$139,COLUMN([1]LEA_Summary!$I:$I),FALSE)</f>
        <v>0</v>
      </c>
      <c r="S15" s="623">
        <f>SUM(Q15:R15)</f>
        <v>1041049</v>
      </c>
      <c r="T15" s="624">
        <f>VLOOKUP($A15,'4_Level 4'!$A$7:$AP$139,COLUMN('4_Level 4'!$E:$E),FALSE)</f>
        <v>0</v>
      </c>
      <c r="U15" s="624">
        <f>VLOOKUP($A15,'4_Level 4'!$A$7:$AP$139,COLUMN('4_Level 4'!$Q:$Q),FALSE)</f>
        <v>9086</v>
      </c>
      <c r="V15" s="624">
        <f>VLOOKUP($A15,'4_Level 4'!$A$7:$AP$139,COLUMN('4_Level 4'!$AC:$AC),FALSE)</f>
        <v>23117</v>
      </c>
      <c r="W15" s="624">
        <f>VLOOKUP($A15,'4_Level 4'!$A$7:$AP$139,COLUMN('4_Level 4'!$AO:$AO),FALSE)</f>
        <v>18492</v>
      </c>
      <c r="X15" s="623">
        <f t="shared" si="4"/>
        <v>1091744</v>
      </c>
      <c r="Y15" s="622"/>
      <c r="Z15" s="622">
        <f>X15-Y15</f>
        <v>1091744</v>
      </c>
      <c r="AA15" s="623">
        <f>ROUND(Z15/$AA$21,0)</f>
        <v>90979</v>
      </c>
      <c r="AB15" s="624">
        <f>VLOOKUP($A15,'4_Level 4'!$A$7:$AP$139,COLUMN('4_Level 4'!$J:$J),FALSE)</f>
        <v>0</v>
      </c>
      <c r="AC15" s="624">
        <f>VLOOKUP($A15,'4_Level 4'!$A$7:$AP$139,COLUMN('4_Level 4'!$L:$L),FALSE)</f>
        <v>0</v>
      </c>
      <c r="AD15" s="624">
        <f>VLOOKUP($A15,'4_Level 4'!$A$7:$AP$139,COLUMN('4_Level 4'!$M:$M),FALSE)</f>
        <v>0</v>
      </c>
      <c r="AE15" s="623">
        <f t="shared" si="5"/>
        <v>1091744</v>
      </c>
      <c r="AF15" s="624">
        <f>'9_Per Pupil Summary'!$M$22</f>
        <v>6927</v>
      </c>
      <c r="AG15" s="627">
        <f>AF15*D15</f>
        <v>1676334</v>
      </c>
      <c r="AH15" s="628"/>
      <c r="AI15" s="621">
        <f>ROUND(AF15*AH15,0)</f>
        <v>0</v>
      </c>
      <c r="AJ15" s="628"/>
      <c r="AK15" s="621">
        <f>ROUND(AF15*AJ15*0.5,0)</f>
        <v>0</v>
      </c>
      <c r="AL15" s="625">
        <f>AK15+AI15</f>
        <v>0</v>
      </c>
      <c r="AM15" s="627">
        <f>AG15+AL15</f>
        <v>1676334</v>
      </c>
      <c r="AN15" s="621">
        <f>ROUND(-AM15*0.0175,0)</f>
        <v>-29336</v>
      </c>
      <c r="AO15" s="621">
        <f>ROUND(-AM15*0.0025,0)</f>
        <v>-4191</v>
      </c>
      <c r="AP15" s="621">
        <f>AN15+AO15</f>
        <v>-33527</v>
      </c>
      <c r="AQ15" s="627">
        <f>AM15+AP15</f>
        <v>1642807</v>
      </c>
      <c r="AR15" s="624">
        <f>VLOOKUP($A15,[1]LEA_Summary!$A$7:$O$139,COLUMN([1]LEA_Summary!$O:$O),FALSE)</f>
        <v>0</v>
      </c>
      <c r="AS15" s="627">
        <f>ROUND(SUM(AQ15:AR15),0)</f>
        <v>1642807</v>
      </c>
      <c r="AT15" s="622"/>
      <c r="AU15" s="622">
        <f>AS15-AT15</f>
        <v>1642807</v>
      </c>
      <c r="AV15" s="627">
        <f>ROUND(AU15/$AV$21,0)</f>
        <v>136901</v>
      </c>
    </row>
    <row r="16" spans="1:48" s="642" customFormat="1" ht="29.25" customHeight="1" thickBot="1" x14ac:dyDescent="0.25">
      <c r="A16" s="631"/>
      <c r="B16" s="631"/>
      <c r="C16" s="632" t="s">
        <v>847</v>
      </c>
      <c r="D16" s="633">
        <f>SUM(D11:D15)</f>
        <v>1631</v>
      </c>
      <c r="E16" s="634"/>
      <c r="F16" s="635">
        <f>SUM(F11:F15)</f>
        <v>5852300.212610459</v>
      </c>
      <c r="G16" s="635"/>
      <c r="H16" s="635">
        <f t="shared" ref="H16:AE16" si="6">SUM(H11:H15)</f>
        <v>1307213.8799999999</v>
      </c>
      <c r="I16" s="637">
        <f t="shared" si="6"/>
        <v>7159515</v>
      </c>
      <c r="J16" s="636">
        <f t="shared" si="6"/>
        <v>0</v>
      </c>
      <c r="K16" s="636">
        <f t="shared" si="6"/>
        <v>0</v>
      </c>
      <c r="L16" s="638">
        <f t="shared" si="6"/>
        <v>0</v>
      </c>
      <c r="M16" s="637">
        <f t="shared" si="6"/>
        <v>7159515</v>
      </c>
      <c r="N16" s="636">
        <f t="shared" si="6"/>
        <v>-125292</v>
      </c>
      <c r="O16" s="636">
        <f t="shared" si="6"/>
        <v>-17899</v>
      </c>
      <c r="P16" s="636">
        <f t="shared" si="6"/>
        <v>-143191</v>
      </c>
      <c r="Q16" s="637">
        <f t="shared" si="6"/>
        <v>7016324</v>
      </c>
      <c r="R16" s="635">
        <f t="shared" si="6"/>
        <v>494</v>
      </c>
      <c r="S16" s="637">
        <f t="shared" si="6"/>
        <v>7016818</v>
      </c>
      <c r="T16" s="635">
        <f t="shared" si="6"/>
        <v>0</v>
      </c>
      <c r="U16" s="635">
        <f t="shared" si="6"/>
        <v>32509</v>
      </c>
      <c r="V16" s="635">
        <f t="shared" si="6"/>
        <v>180540</v>
      </c>
      <c r="W16" s="635">
        <f t="shared" si="6"/>
        <v>144428</v>
      </c>
      <c r="X16" s="637">
        <f t="shared" si="6"/>
        <v>7374295</v>
      </c>
      <c r="Y16" s="635">
        <f t="shared" si="6"/>
        <v>0</v>
      </c>
      <c r="Z16" s="635">
        <f t="shared" si="6"/>
        <v>7374295</v>
      </c>
      <c r="AA16" s="637">
        <f t="shared" si="6"/>
        <v>614524</v>
      </c>
      <c r="AB16" s="635">
        <f t="shared" si="6"/>
        <v>0</v>
      </c>
      <c r="AC16" s="635">
        <f t="shared" si="6"/>
        <v>0</v>
      </c>
      <c r="AD16" s="635">
        <f t="shared" si="6"/>
        <v>0</v>
      </c>
      <c r="AE16" s="637">
        <f t="shared" si="6"/>
        <v>7374295</v>
      </c>
      <c r="AF16" s="635"/>
      <c r="AG16" s="640">
        <f t="shared" ref="AG16:AV16" si="7">SUM(AG11:AG15)</f>
        <v>11297937</v>
      </c>
      <c r="AH16" s="647">
        <f t="shared" si="7"/>
        <v>0</v>
      </c>
      <c r="AI16" s="635">
        <f t="shared" si="7"/>
        <v>0</v>
      </c>
      <c r="AJ16" s="641">
        <f t="shared" si="7"/>
        <v>0</v>
      </c>
      <c r="AK16" s="635">
        <f t="shared" si="7"/>
        <v>0</v>
      </c>
      <c r="AL16" s="638">
        <f t="shared" si="7"/>
        <v>0</v>
      </c>
      <c r="AM16" s="640">
        <f t="shared" si="7"/>
        <v>11297937</v>
      </c>
      <c r="AN16" s="635">
        <f t="shared" si="7"/>
        <v>-197714</v>
      </c>
      <c r="AO16" s="635">
        <f t="shared" si="7"/>
        <v>-28246</v>
      </c>
      <c r="AP16" s="635">
        <f t="shared" si="7"/>
        <v>-225960</v>
      </c>
      <c r="AQ16" s="640">
        <f t="shared" si="7"/>
        <v>11071977</v>
      </c>
      <c r="AR16" s="635">
        <f t="shared" si="7"/>
        <v>3309</v>
      </c>
      <c r="AS16" s="640">
        <f t="shared" si="7"/>
        <v>11075286</v>
      </c>
      <c r="AT16" s="639">
        <f t="shared" si="7"/>
        <v>0</v>
      </c>
      <c r="AU16" s="639">
        <f t="shared" si="7"/>
        <v>11075286</v>
      </c>
      <c r="AV16" s="640">
        <f t="shared" si="7"/>
        <v>922942</v>
      </c>
    </row>
    <row r="17" spans="1:48" s="88" customFormat="1" ht="9.75" customHeight="1" x14ac:dyDescent="0.2">
      <c r="A17" s="643"/>
      <c r="B17" s="643"/>
      <c r="C17" s="644"/>
      <c r="D17" s="645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46"/>
      <c r="AI17" s="626"/>
      <c r="AJ17" s="646"/>
      <c r="AK17" s="626"/>
      <c r="AL17" s="626"/>
      <c r="AM17" s="626"/>
      <c r="AN17" s="626"/>
      <c r="AO17" s="626"/>
      <c r="AP17" s="626"/>
      <c r="AQ17" s="626"/>
      <c r="AR17" s="626"/>
      <c r="AS17" s="626"/>
      <c r="AT17" s="626"/>
      <c r="AU17" s="626"/>
      <c r="AV17" s="626"/>
    </row>
    <row r="18" spans="1:48" s="642" customFormat="1" ht="39" thickBot="1" x14ac:dyDescent="0.25">
      <c r="A18" s="631"/>
      <c r="B18" s="631"/>
      <c r="C18" s="632" t="s">
        <v>848</v>
      </c>
      <c r="D18" s="633">
        <f>D8+D16</f>
        <v>1968</v>
      </c>
      <c r="E18" s="634"/>
      <c r="F18" s="635">
        <f>F8+F16</f>
        <v>7061512.4576440118</v>
      </c>
      <c r="G18" s="635"/>
      <c r="H18" s="635">
        <f t="shared" ref="H18:AE18" si="8">H8+H16</f>
        <v>1577312.64</v>
      </c>
      <c r="I18" s="637">
        <f t="shared" si="8"/>
        <v>8638826</v>
      </c>
      <c r="J18" s="636">
        <f t="shared" si="8"/>
        <v>0</v>
      </c>
      <c r="K18" s="636">
        <f t="shared" si="8"/>
        <v>0</v>
      </c>
      <c r="L18" s="638">
        <f t="shared" si="8"/>
        <v>0</v>
      </c>
      <c r="M18" s="637">
        <f t="shared" si="8"/>
        <v>8638826</v>
      </c>
      <c r="N18" s="636">
        <f t="shared" si="8"/>
        <v>-125292</v>
      </c>
      <c r="O18" s="636">
        <f t="shared" si="8"/>
        <v>-17899</v>
      </c>
      <c r="P18" s="636">
        <f t="shared" si="8"/>
        <v>-143191</v>
      </c>
      <c r="Q18" s="637">
        <f t="shared" si="8"/>
        <v>8495635</v>
      </c>
      <c r="R18" s="635">
        <f t="shared" si="8"/>
        <v>-4181</v>
      </c>
      <c r="S18" s="637">
        <f t="shared" si="8"/>
        <v>8491454</v>
      </c>
      <c r="T18" s="635">
        <f t="shared" si="8"/>
        <v>0</v>
      </c>
      <c r="U18" s="635">
        <f t="shared" si="8"/>
        <v>52392</v>
      </c>
      <c r="V18" s="635">
        <f t="shared" si="8"/>
        <v>218814</v>
      </c>
      <c r="W18" s="635">
        <f t="shared" si="8"/>
        <v>175047</v>
      </c>
      <c r="X18" s="637">
        <f t="shared" si="8"/>
        <v>8937707</v>
      </c>
      <c r="Y18" s="635">
        <f t="shared" si="8"/>
        <v>0</v>
      </c>
      <c r="Z18" s="635">
        <f t="shared" si="8"/>
        <v>8937707</v>
      </c>
      <c r="AA18" s="637">
        <f t="shared" si="8"/>
        <v>744808</v>
      </c>
      <c r="AB18" s="635">
        <f t="shared" si="8"/>
        <v>0</v>
      </c>
      <c r="AC18" s="635">
        <f t="shared" si="8"/>
        <v>41573</v>
      </c>
      <c r="AD18" s="635">
        <f t="shared" si="8"/>
        <v>0</v>
      </c>
      <c r="AE18" s="637">
        <f t="shared" si="8"/>
        <v>8979280</v>
      </c>
      <c r="AF18" s="635"/>
      <c r="AG18" s="640">
        <f t="shared" ref="AG18:AV18" si="9">AG8+AG16</f>
        <v>13632336</v>
      </c>
      <c r="AH18" s="647">
        <f t="shared" si="9"/>
        <v>0</v>
      </c>
      <c r="AI18" s="635">
        <f t="shared" si="9"/>
        <v>0</v>
      </c>
      <c r="AJ18" s="641">
        <f t="shared" si="9"/>
        <v>0</v>
      </c>
      <c r="AK18" s="635">
        <f t="shared" si="9"/>
        <v>0</v>
      </c>
      <c r="AL18" s="638">
        <f t="shared" si="9"/>
        <v>0</v>
      </c>
      <c r="AM18" s="640">
        <f t="shared" si="9"/>
        <v>13632336</v>
      </c>
      <c r="AN18" s="635">
        <f t="shared" si="9"/>
        <v>-197714</v>
      </c>
      <c r="AO18" s="635">
        <f t="shared" si="9"/>
        <v>-28246</v>
      </c>
      <c r="AP18" s="635">
        <f t="shared" si="9"/>
        <v>-225960</v>
      </c>
      <c r="AQ18" s="640">
        <f t="shared" si="9"/>
        <v>13406376</v>
      </c>
      <c r="AR18" s="635">
        <f t="shared" si="9"/>
        <v>-9925</v>
      </c>
      <c r="AS18" s="640">
        <f t="shared" si="9"/>
        <v>13396451</v>
      </c>
      <c r="AT18" s="639">
        <f t="shared" si="9"/>
        <v>0</v>
      </c>
      <c r="AU18" s="639">
        <f t="shared" si="9"/>
        <v>13396451</v>
      </c>
      <c r="AV18" s="640">
        <f t="shared" si="9"/>
        <v>1116372</v>
      </c>
    </row>
    <row r="19" spans="1:48" s="88" customFormat="1" ht="9.75" customHeight="1" x14ac:dyDescent="0.2">
      <c r="A19" s="643"/>
      <c r="B19" s="643"/>
      <c r="C19" s="644"/>
      <c r="D19" s="645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46"/>
      <c r="AI19" s="626"/>
      <c r="AJ19" s="64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6"/>
    </row>
    <row r="20" spans="1:48" s="642" customFormat="1" ht="29.25" customHeight="1" thickBot="1" x14ac:dyDescent="0.25">
      <c r="A20" s="648"/>
      <c r="B20" s="648"/>
      <c r="C20" s="649" t="s">
        <v>849</v>
      </c>
      <c r="D20" s="650">
        <f>D9+D16</f>
        <v>2903</v>
      </c>
      <c r="E20" s="651"/>
      <c r="F20" s="652">
        <f>F9+F16</f>
        <v>11528782.499573592</v>
      </c>
      <c r="G20" s="652"/>
      <c r="H20" s="652">
        <f t="shared" ref="H20:AE20" si="10">H9+H16</f>
        <v>2273663.2399999998</v>
      </c>
      <c r="I20" s="653">
        <f t="shared" si="10"/>
        <v>13802447</v>
      </c>
      <c r="J20" s="654">
        <f t="shared" si="10"/>
        <v>0</v>
      </c>
      <c r="K20" s="654">
        <f t="shared" si="10"/>
        <v>0</v>
      </c>
      <c r="L20" s="655">
        <f t="shared" si="10"/>
        <v>0</v>
      </c>
      <c r="M20" s="653">
        <f t="shared" si="10"/>
        <v>13802447</v>
      </c>
      <c r="N20" s="654">
        <f t="shared" si="10"/>
        <v>-125292</v>
      </c>
      <c r="O20" s="654">
        <f t="shared" si="10"/>
        <v>-17899</v>
      </c>
      <c r="P20" s="654">
        <f t="shared" si="10"/>
        <v>-143191</v>
      </c>
      <c r="Q20" s="653">
        <f t="shared" si="10"/>
        <v>13659256</v>
      </c>
      <c r="R20" s="656">
        <f t="shared" si="10"/>
        <v>1724</v>
      </c>
      <c r="S20" s="653">
        <f t="shared" si="10"/>
        <v>13660980</v>
      </c>
      <c r="T20" s="656">
        <f t="shared" si="10"/>
        <v>0</v>
      </c>
      <c r="U20" s="656">
        <f t="shared" si="10"/>
        <v>63897</v>
      </c>
      <c r="V20" s="656">
        <f t="shared" si="10"/>
        <v>352546</v>
      </c>
      <c r="W20" s="656">
        <f t="shared" si="10"/>
        <v>282035</v>
      </c>
      <c r="X20" s="653">
        <f t="shared" si="10"/>
        <v>14359458</v>
      </c>
      <c r="Y20" s="652">
        <f t="shared" si="10"/>
        <v>0</v>
      </c>
      <c r="Z20" s="652">
        <f t="shared" si="10"/>
        <v>14359458</v>
      </c>
      <c r="AA20" s="653">
        <f t="shared" si="10"/>
        <v>1196621</v>
      </c>
      <c r="AB20" s="656">
        <f t="shared" si="10"/>
        <v>0</v>
      </c>
      <c r="AC20" s="656">
        <f t="shared" si="10"/>
        <v>41573</v>
      </c>
      <c r="AD20" s="656">
        <f t="shared" si="10"/>
        <v>0</v>
      </c>
      <c r="AE20" s="653">
        <f t="shared" si="10"/>
        <v>14401031</v>
      </c>
      <c r="AF20" s="652"/>
      <c r="AG20" s="657">
        <f t="shared" ref="AG20:AV20" si="11">AG9+AG16</f>
        <v>18479376</v>
      </c>
      <c r="AH20" s="658">
        <f t="shared" si="11"/>
        <v>0</v>
      </c>
      <c r="AI20" s="652">
        <f t="shared" si="11"/>
        <v>0</v>
      </c>
      <c r="AJ20" s="659">
        <f t="shared" si="11"/>
        <v>0</v>
      </c>
      <c r="AK20" s="652">
        <f t="shared" si="11"/>
        <v>0</v>
      </c>
      <c r="AL20" s="655">
        <f t="shared" si="11"/>
        <v>0</v>
      </c>
      <c r="AM20" s="657">
        <f t="shared" si="11"/>
        <v>18479376</v>
      </c>
      <c r="AN20" s="652">
        <f t="shared" si="11"/>
        <v>-197714</v>
      </c>
      <c r="AO20" s="652">
        <f t="shared" si="11"/>
        <v>-28246</v>
      </c>
      <c r="AP20" s="652">
        <f t="shared" si="11"/>
        <v>-225960</v>
      </c>
      <c r="AQ20" s="657">
        <f t="shared" si="11"/>
        <v>18253416</v>
      </c>
      <c r="AR20" s="652">
        <f t="shared" si="11"/>
        <v>-12285</v>
      </c>
      <c r="AS20" s="657">
        <f t="shared" si="11"/>
        <v>18241131</v>
      </c>
      <c r="AT20" s="652">
        <f t="shared" si="11"/>
        <v>0</v>
      </c>
      <c r="AU20" s="652">
        <f t="shared" si="11"/>
        <v>18241131</v>
      </c>
      <c r="AV20" s="657">
        <f t="shared" si="11"/>
        <v>1520095</v>
      </c>
    </row>
    <row r="21" spans="1:48" s="88" customFormat="1" ht="13.5" thickTop="1" x14ac:dyDescent="0.2">
      <c r="A21" s="660"/>
      <c r="B21" s="660"/>
      <c r="C21" s="661"/>
      <c r="D21" s="661"/>
      <c r="E21" s="661"/>
      <c r="F21" s="661"/>
      <c r="G21" s="661"/>
      <c r="H21" s="661"/>
      <c r="I21" s="661"/>
      <c r="J21" s="662"/>
      <c r="K21" s="662"/>
      <c r="L21" s="662"/>
      <c r="M21" s="662"/>
      <c r="N21" s="662"/>
      <c r="O21" s="662"/>
      <c r="P21" s="662"/>
      <c r="Q21" s="662"/>
      <c r="R21" s="661"/>
      <c r="S21" s="662"/>
      <c r="T21" s="662"/>
      <c r="U21" s="662"/>
      <c r="V21" s="662"/>
      <c r="W21" s="662"/>
      <c r="X21" s="662"/>
      <c r="Y21" s="662"/>
      <c r="Z21" s="662"/>
      <c r="AA21" s="661">
        <v>12</v>
      </c>
      <c r="AB21" s="661"/>
      <c r="AC21" s="661"/>
      <c r="AD21" s="661"/>
      <c r="AE21" s="661"/>
      <c r="AF21" s="661"/>
      <c r="AG21" s="661"/>
      <c r="AH21" s="661"/>
      <c r="AI21" s="661"/>
      <c r="AJ21" s="661"/>
      <c r="AK21" s="661"/>
      <c r="AL21" s="661"/>
      <c r="AM21" s="661"/>
      <c r="AN21" s="661"/>
      <c r="AO21" s="661"/>
      <c r="AP21" s="661"/>
      <c r="AQ21" s="661"/>
      <c r="AR21" s="661"/>
      <c r="AS21" s="661"/>
      <c r="AT21" s="661"/>
      <c r="AU21" s="661"/>
      <c r="AV21" s="661">
        <f>AA21</f>
        <v>12</v>
      </c>
    </row>
  </sheetData>
  <sheetProtection password="D893" sheet="1" objects="1" scenarios="1"/>
  <mergeCells count="9">
    <mergeCell ref="A1:C3"/>
    <mergeCell ref="D1:R1"/>
    <mergeCell ref="S1:AE1"/>
    <mergeCell ref="AF1:AP1"/>
    <mergeCell ref="AQ1:AV1"/>
    <mergeCell ref="J2:L2"/>
    <mergeCell ref="T2:W2"/>
    <mergeCell ref="AB2:AD2"/>
    <mergeCell ref="AH2:AL2"/>
  </mergeCells>
  <printOptions horizontalCentered="1"/>
  <pageMargins left="0.25" right="0.25" top="1" bottom="0.75" header="0.24" footer="0.31"/>
  <pageSetup paperSize="5" scale="70" firstPageNumber="48" orientation="landscape" r:id="rId1"/>
  <headerFooter alignWithMargins="0">
    <oddHeader xml:space="preserve">&amp;L&amp;"Arial,Bold"&amp;18&amp;K000000FY2021-22 Budget Letter
July 2021&amp;R
</oddHeader>
    <oddFooter>&amp;R&amp;12&amp;P</oddFooter>
  </headerFooter>
  <colBreaks count="3" manualBreakCount="3">
    <brk id="18" max="19" man="1"/>
    <brk id="31" max="1048575" man="1"/>
    <brk id="42" max="1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V42"/>
  <sheetViews>
    <sheetView view="pageBreakPreview" zoomScaleNormal="100" zoomScaleSheetLayoutView="100" workbookViewId="0">
      <pane xSplit="3" ySplit="6" topLeftCell="D7" activePane="bottomRight" state="frozen"/>
      <selection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8.85546875" defaultRowHeight="12.75" x14ac:dyDescent="0.2"/>
  <cols>
    <col min="1" max="1" width="8.5703125" style="75" bestFit="1" customWidth="1"/>
    <col min="2" max="2" width="8" style="75" hidden="1" customWidth="1"/>
    <col min="3" max="3" width="35.140625" style="2" customWidth="1"/>
    <col min="4" max="4" width="14.7109375" style="2" customWidth="1"/>
    <col min="5" max="5" width="7.28515625" style="2" customWidth="1"/>
    <col min="6" max="6" width="14.7109375" style="2" customWidth="1"/>
    <col min="7" max="7" width="10.7109375" style="2" customWidth="1"/>
    <col min="8" max="8" width="7.28515625" style="2" customWidth="1"/>
    <col min="9" max="9" width="13.28515625" style="2" customWidth="1"/>
    <col min="10" max="10" width="10.7109375" style="2" customWidth="1"/>
    <col min="11" max="11" width="7.28515625" style="2" customWidth="1"/>
    <col min="12" max="12" width="13.28515625" style="2" customWidth="1"/>
    <col min="13" max="13" width="10.7109375" style="2" customWidth="1"/>
    <col min="14" max="14" width="7.28515625" style="2" customWidth="1"/>
    <col min="15" max="15" width="13.28515625" style="2" customWidth="1"/>
    <col min="16" max="16" width="10.7109375" style="2" customWidth="1"/>
    <col min="17" max="17" width="7.28515625" style="2" customWidth="1"/>
    <col min="18" max="18" width="13.28515625" style="2" customWidth="1"/>
    <col min="19" max="19" width="15.140625" style="2" customWidth="1"/>
    <col min="20" max="22" width="14.85546875" style="2" customWidth="1"/>
    <col min="23" max="23" width="15.42578125" style="2" customWidth="1"/>
    <col min="24" max="24" width="12.85546875" style="2" customWidth="1"/>
    <col min="25" max="26" width="15.42578125" style="2" customWidth="1"/>
    <col min="27" max="27" width="13.42578125" style="2" customWidth="1"/>
    <col min="28" max="28" width="17.7109375" style="2" customWidth="1"/>
    <col min="29" max="31" width="13.28515625" style="2" customWidth="1"/>
    <col min="32" max="32" width="13.140625" style="2" customWidth="1"/>
    <col min="33" max="33" width="16.42578125" style="2" bestFit="1" customWidth="1"/>
    <col min="34" max="35" width="14.85546875" style="2" bestFit="1" customWidth="1"/>
    <col min="36" max="40" width="12.85546875" style="2" customWidth="1"/>
    <col min="41" max="41" width="14.85546875" style="2" bestFit="1" customWidth="1"/>
    <col min="42" max="42" width="12.140625" style="2" customWidth="1"/>
    <col min="43" max="43" width="14.85546875" style="2" bestFit="1" customWidth="1"/>
    <col min="44" max="44" width="12.140625" style="2" bestFit="1" customWidth="1"/>
    <col min="45" max="45" width="14.85546875" style="2" bestFit="1" customWidth="1"/>
    <col min="46" max="47" width="13" style="2" customWidth="1"/>
    <col min="48" max="48" width="14.85546875" style="2" bestFit="1" customWidth="1"/>
    <col min="49" max="16384" width="8.85546875" style="2"/>
  </cols>
  <sheetData>
    <row r="1" spans="1:48" ht="21" customHeight="1" x14ac:dyDescent="0.2">
      <c r="A1" s="1084" t="s">
        <v>850</v>
      </c>
      <c r="B1" s="1084"/>
      <c r="C1" s="1085"/>
      <c r="D1" s="1086" t="s">
        <v>625</v>
      </c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8"/>
      <c r="T1" s="1086" t="s">
        <v>625</v>
      </c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  <c r="AE1" s="1087"/>
      <c r="AF1" s="1087"/>
      <c r="AG1" s="1088"/>
      <c r="AH1" s="1077" t="s">
        <v>784</v>
      </c>
      <c r="AI1" s="1078"/>
      <c r="AJ1" s="1078"/>
      <c r="AK1" s="1078"/>
      <c r="AL1" s="1078"/>
      <c r="AM1" s="1078"/>
      <c r="AN1" s="1078"/>
      <c r="AO1" s="1078"/>
      <c r="AP1" s="1078"/>
      <c r="AQ1" s="1078"/>
      <c r="AR1" s="1078"/>
      <c r="AS1" s="1078"/>
      <c r="AT1" s="1078"/>
      <c r="AU1" s="1078"/>
      <c r="AV1" s="1079"/>
    </row>
    <row r="2" spans="1:48" ht="18.75" customHeight="1" x14ac:dyDescent="0.2">
      <c r="A2" s="1085"/>
      <c r="B2" s="1085"/>
      <c r="C2" s="1085"/>
      <c r="D2" s="1080" t="s">
        <v>661</v>
      </c>
      <c r="E2" s="1083" t="s">
        <v>851</v>
      </c>
      <c r="F2" s="1083"/>
      <c r="G2" s="1083" t="s">
        <v>663</v>
      </c>
      <c r="H2" s="1083"/>
      <c r="I2" s="1083"/>
      <c r="J2" s="1083" t="s">
        <v>664</v>
      </c>
      <c r="K2" s="1083"/>
      <c r="L2" s="1083"/>
      <c r="M2" s="1083" t="s">
        <v>665</v>
      </c>
      <c r="N2" s="1083"/>
      <c r="O2" s="1083"/>
      <c r="P2" s="1083" t="s">
        <v>666</v>
      </c>
      <c r="Q2" s="1083"/>
      <c r="R2" s="1083"/>
      <c r="S2" s="1080" t="s">
        <v>667</v>
      </c>
      <c r="T2" s="1072" t="s">
        <v>18</v>
      </c>
      <c r="U2" s="1072"/>
      <c r="V2" s="1072"/>
      <c r="W2" s="1080" t="s">
        <v>632</v>
      </c>
      <c r="X2" s="1080" t="s">
        <v>852</v>
      </c>
      <c r="Y2" s="1080" t="s">
        <v>669</v>
      </c>
      <c r="Z2" s="1072" t="s">
        <v>853</v>
      </c>
      <c r="AA2" s="1081" t="s">
        <v>671</v>
      </c>
      <c r="AB2" s="1080" t="s">
        <v>854</v>
      </c>
      <c r="AC2" s="1080" t="s">
        <v>855</v>
      </c>
      <c r="AD2" s="1080" t="s">
        <v>637</v>
      </c>
      <c r="AE2" s="1080" t="s">
        <v>856</v>
      </c>
      <c r="AF2" s="1090" t="s">
        <v>857</v>
      </c>
      <c r="AG2" s="1080" t="s">
        <v>858</v>
      </c>
      <c r="AH2" s="1089" t="s">
        <v>859</v>
      </c>
      <c r="AI2" s="1089" t="s">
        <v>860</v>
      </c>
      <c r="AJ2" s="1074" t="s">
        <v>18</v>
      </c>
      <c r="AK2" s="1074"/>
      <c r="AL2" s="1074"/>
      <c r="AM2" s="1074"/>
      <c r="AN2" s="1074"/>
      <c r="AO2" s="1089" t="s">
        <v>861</v>
      </c>
      <c r="AP2" s="1089" t="s">
        <v>862</v>
      </c>
      <c r="AQ2" s="1089" t="s">
        <v>863</v>
      </c>
      <c r="AR2" s="1072" t="s">
        <v>853</v>
      </c>
      <c r="AS2" s="1089" t="s">
        <v>864</v>
      </c>
      <c r="AT2" s="1089" t="s">
        <v>728</v>
      </c>
      <c r="AU2" s="1089" t="s">
        <v>637</v>
      </c>
      <c r="AV2" s="1089" t="s">
        <v>729</v>
      </c>
    </row>
    <row r="3" spans="1:48" ht="108.75" customHeight="1" x14ac:dyDescent="0.2">
      <c r="A3" s="1085"/>
      <c r="B3" s="1085"/>
      <c r="C3" s="1085"/>
      <c r="D3" s="1080"/>
      <c r="E3" s="599" t="s">
        <v>865</v>
      </c>
      <c r="F3" s="599" t="s">
        <v>866</v>
      </c>
      <c r="G3" s="599" t="s">
        <v>679</v>
      </c>
      <c r="H3" s="599" t="s">
        <v>865</v>
      </c>
      <c r="I3" s="599" t="s">
        <v>680</v>
      </c>
      <c r="J3" s="599" t="s">
        <v>681</v>
      </c>
      <c r="K3" s="599" t="s">
        <v>865</v>
      </c>
      <c r="L3" s="599" t="s">
        <v>680</v>
      </c>
      <c r="M3" s="599" t="s">
        <v>682</v>
      </c>
      <c r="N3" s="599" t="s">
        <v>865</v>
      </c>
      <c r="O3" s="599" t="s">
        <v>680</v>
      </c>
      <c r="P3" s="599" t="s">
        <v>682</v>
      </c>
      <c r="Q3" s="599" t="s">
        <v>865</v>
      </c>
      <c r="R3" s="599" t="s">
        <v>680</v>
      </c>
      <c r="S3" s="1080"/>
      <c r="T3" s="540" t="s">
        <v>63</v>
      </c>
      <c r="U3" s="540" t="s">
        <v>64</v>
      </c>
      <c r="V3" s="540" t="s">
        <v>65</v>
      </c>
      <c r="W3" s="1080"/>
      <c r="X3" s="1080"/>
      <c r="Y3" s="1080"/>
      <c r="Z3" s="1072"/>
      <c r="AA3" s="1082"/>
      <c r="AB3" s="1080"/>
      <c r="AC3" s="1080"/>
      <c r="AD3" s="1080"/>
      <c r="AE3" s="1080"/>
      <c r="AF3" s="1090"/>
      <c r="AG3" s="1080"/>
      <c r="AH3" s="1089"/>
      <c r="AI3" s="1089"/>
      <c r="AJ3" s="540" t="s">
        <v>797</v>
      </c>
      <c r="AK3" s="540" t="s">
        <v>798</v>
      </c>
      <c r="AL3" s="540" t="s">
        <v>799</v>
      </c>
      <c r="AM3" s="540" t="s">
        <v>800</v>
      </c>
      <c r="AN3" s="540" t="s">
        <v>65</v>
      </c>
      <c r="AO3" s="1089"/>
      <c r="AP3" s="1089"/>
      <c r="AQ3" s="1089"/>
      <c r="AR3" s="1072"/>
      <c r="AS3" s="1089"/>
      <c r="AT3" s="1089"/>
      <c r="AU3" s="1089"/>
      <c r="AV3" s="1089"/>
    </row>
    <row r="4" spans="1:48" ht="14.25" customHeight="1" x14ac:dyDescent="0.2">
      <c r="A4" s="664"/>
      <c r="B4" s="665"/>
      <c r="C4" s="666"/>
      <c r="D4" s="544">
        <v>1</v>
      </c>
      <c r="E4" s="544">
        <f t="shared" ref="E4:Z4" si="0">D4+1</f>
        <v>2</v>
      </c>
      <c r="F4" s="544">
        <f t="shared" si="0"/>
        <v>3</v>
      </c>
      <c r="G4" s="544">
        <f t="shared" si="0"/>
        <v>4</v>
      </c>
      <c r="H4" s="544">
        <f t="shared" si="0"/>
        <v>5</v>
      </c>
      <c r="I4" s="544">
        <f t="shared" si="0"/>
        <v>6</v>
      </c>
      <c r="J4" s="544">
        <f t="shared" si="0"/>
        <v>7</v>
      </c>
      <c r="K4" s="544">
        <f t="shared" si="0"/>
        <v>8</v>
      </c>
      <c r="L4" s="544">
        <f t="shared" si="0"/>
        <v>9</v>
      </c>
      <c r="M4" s="544">
        <f t="shared" si="0"/>
        <v>10</v>
      </c>
      <c r="N4" s="544">
        <f t="shared" si="0"/>
        <v>11</v>
      </c>
      <c r="O4" s="544">
        <f t="shared" si="0"/>
        <v>12</v>
      </c>
      <c r="P4" s="544">
        <f t="shared" si="0"/>
        <v>13</v>
      </c>
      <c r="Q4" s="544">
        <f t="shared" si="0"/>
        <v>14</v>
      </c>
      <c r="R4" s="544">
        <f t="shared" si="0"/>
        <v>15</v>
      </c>
      <c r="S4" s="544">
        <f>R4+1</f>
        <v>16</v>
      </c>
      <c r="T4" s="544">
        <f t="shared" si="0"/>
        <v>17</v>
      </c>
      <c r="U4" s="544">
        <f t="shared" si="0"/>
        <v>18</v>
      </c>
      <c r="V4" s="544">
        <f t="shared" si="0"/>
        <v>19</v>
      </c>
      <c r="W4" s="544">
        <f t="shared" si="0"/>
        <v>20</v>
      </c>
      <c r="X4" s="544">
        <f t="shared" si="0"/>
        <v>21</v>
      </c>
      <c r="Y4" s="544">
        <f t="shared" si="0"/>
        <v>22</v>
      </c>
      <c r="Z4" s="544">
        <f t="shared" si="0"/>
        <v>23</v>
      </c>
      <c r="AA4" s="544" t="s">
        <v>867</v>
      </c>
      <c r="AB4" s="544">
        <v>24</v>
      </c>
      <c r="AC4" s="544">
        <f>AB4+1</f>
        <v>25</v>
      </c>
      <c r="AD4" s="544">
        <f>AC4+1</f>
        <v>26</v>
      </c>
      <c r="AE4" s="544">
        <f>AD4+1</f>
        <v>27</v>
      </c>
      <c r="AF4" s="544" t="s">
        <v>868</v>
      </c>
      <c r="AG4" s="544">
        <v>28</v>
      </c>
      <c r="AH4" s="544">
        <f t="shared" ref="AH4:AV4" si="1">AG4+1</f>
        <v>29</v>
      </c>
      <c r="AI4" s="544">
        <f t="shared" si="1"/>
        <v>30</v>
      </c>
      <c r="AJ4" s="544">
        <f t="shared" si="1"/>
        <v>31</v>
      </c>
      <c r="AK4" s="544">
        <f t="shared" si="1"/>
        <v>32</v>
      </c>
      <c r="AL4" s="544">
        <f t="shared" si="1"/>
        <v>33</v>
      </c>
      <c r="AM4" s="544">
        <f t="shared" si="1"/>
        <v>34</v>
      </c>
      <c r="AN4" s="544">
        <f t="shared" si="1"/>
        <v>35</v>
      </c>
      <c r="AO4" s="544">
        <f t="shared" si="1"/>
        <v>36</v>
      </c>
      <c r="AP4" s="544">
        <f t="shared" si="1"/>
        <v>37</v>
      </c>
      <c r="AQ4" s="544">
        <f t="shared" si="1"/>
        <v>38</v>
      </c>
      <c r="AR4" s="544">
        <f t="shared" si="1"/>
        <v>39</v>
      </c>
      <c r="AS4" s="544">
        <f t="shared" si="1"/>
        <v>40</v>
      </c>
      <c r="AT4" s="544">
        <f t="shared" si="1"/>
        <v>41</v>
      </c>
      <c r="AU4" s="544">
        <f t="shared" si="1"/>
        <v>42</v>
      </c>
      <c r="AV4" s="544">
        <f t="shared" si="1"/>
        <v>43</v>
      </c>
    </row>
    <row r="5" spans="1:48" s="381" customFormat="1" ht="11.25" hidden="1" x14ac:dyDescent="0.2">
      <c r="A5" s="667"/>
      <c r="B5" s="667"/>
      <c r="C5" s="668"/>
      <c r="D5" s="669" t="s">
        <v>73</v>
      </c>
      <c r="E5" s="669"/>
      <c r="F5" s="669" t="s">
        <v>73</v>
      </c>
      <c r="G5" s="669" t="s">
        <v>73</v>
      </c>
      <c r="H5" s="669"/>
      <c r="I5" s="669" t="s">
        <v>73</v>
      </c>
      <c r="J5" s="669" t="s">
        <v>73</v>
      </c>
      <c r="K5" s="669"/>
      <c r="L5" s="669" t="s">
        <v>73</v>
      </c>
      <c r="M5" s="669" t="s">
        <v>73</v>
      </c>
      <c r="N5" s="669"/>
      <c r="O5" s="669" t="s">
        <v>73</v>
      </c>
      <c r="P5" s="669" t="s">
        <v>73</v>
      </c>
      <c r="Q5" s="669"/>
      <c r="R5" s="669" t="s">
        <v>73</v>
      </c>
      <c r="S5" s="669" t="s">
        <v>73</v>
      </c>
      <c r="T5" s="669" t="s">
        <v>73</v>
      </c>
      <c r="U5" s="669" t="s">
        <v>73</v>
      </c>
      <c r="V5" s="669" t="s">
        <v>73</v>
      </c>
      <c r="W5" s="669" t="s">
        <v>73</v>
      </c>
      <c r="X5" s="669" t="s">
        <v>73</v>
      </c>
      <c r="Y5" s="669" t="s">
        <v>73</v>
      </c>
      <c r="Z5" s="669" t="s">
        <v>73</v>
      </c>
      <c r="AA5" s="669" t="s">
        <v>73</v>
      </c>
      <c r="AB5" s="669" t="s">
        <v>73</v>
      </c>
      <c r="AC5" s="669" t="s">
        <v>73</v>
      </c>
      <c r="AD5" s="669" t="s">
        <v>73</v>
      </c>
      <c r="AE5" s="669" t="s">
        <v>73</v>
      </c>
      <c r="AF5" s="669" t="s">
        <v>73</v>
      </c>
      <c r="AG5" s="669" t="s">
        <v>73</v>
      </c>
      <c r="AH5" s="669"/>
      <c r="AI5" s="669" t="s">
        <v>73</v>
      </c>
      <c r="AJ5" s="669" t="s">
        <v>73</v>
      </c>
      <c r="AK5" s="669" t="s">
        <v>73</v>
      </c>
      <c r="AL5" s="669" t="s">
        <v>73</v>
      </c>
      <c r="AM5" s="669" t="s">
        <v>73</v>
      </c>
      <c r="AN5" s="669" t="s">
        <v>73</v>
      </c>
      <c r="AO5" s="669" t="s">
        <v>73</v>
      </c>
      <c r="AP5" s="669" t="s">
        <v>73</v>
      </c>
      <c r="AQ5" s="669" t="s">
        <v>73</v>
      </c>
      <c r="AR5" s="669" t="s">
        <v>73</v>
      </c>
      <c r="AS5" s="669" t="s">
        <v>73</v>
      </c>
      <c r="AT5" s="669" t="s">
        <v>73</v>
      </c>
      <c r="AU5" s="669" t="s">
        <v>73</v>
      </c>
      <c r="AV5" s="669" t="s">
        <v>73</v>
      </c>
    </row>
    <row r="6" spans="1:48" s="381" customFormat="1" ht="45" x14ac:dyDescent="0.2">
      <c r="A6" s="670"/>
      <c r="B6" s="671" t="s">
        <v>869</v>
      </c>
      <c r="C6" s="672"/>
      <c r="D6" s="673" t="s">
        <v>685</v>
      </c>
      <c r="E6" s="546" t="s">
        <v>870</v>
      </c>
      <c r="F6" s="546" t="s">
        <v>644</v>
      </c>
      <c r="G6" s="673" t="s">
        <v>386</v>
      </c>
      <c r="H6" s="673" t="s">
        <v>688</v>
      </c>
      <c r="I6" s="673" t="s">
        <v>871</v>
      </c>
      <c r="J6" s="673" t="s">
        <v>388</v>
      </c>
      <c r="K6" s="673" t="s">
        <v>691</v>
      </c>
      <c r="L6" s="673" t="s">
        <v>872</v>
      </c>
      <c r="M6" s="673" t="s">
        <v>390</v>
      </c>
      <c r="N6" s="673" t="s">
        <v>694</v>
      </c>
      <c r="O6" s="673" t="s">
        <v>873</v>
      </c>
      <c r="P6" s="673" t="s">
        <v>392</v>
      </c>
      <c r="Q6" s="673" t="s">
        <v>697</v>
      </c>
      <c r="R6" s="673" t="s">
        <v>874</v>
      </c>
      <c r="S6" s="673" t="s">
        <v>875</v>
      </c>
      <c r="T6" s="673" t="s">
        <v>115</v>
      </c>
      <c r="U6" s="673" t="s">
        <v>116</v>
      </c>
      <c r="V6" s="673" t="s">
        <v>876</v>
      </c>
      <c r="W6" s="673" t="s">
        <v>877</v>
      </c>
      <c r="X6" s="673" t="s">
        <v>878</v>
      </c>
      <c r="Y6" s="673" t="s">
        <v>512</v>
      </c>
      <c r="Z6" s="673" t="s">
        <v>112</v>
      </c>
      <c r="AA6" s="673" t="s">
        <v>879</v>
      </c>
      <c r="AB6" s="673" t="s">
        <v>880</v>
      </c>
      <c r="AC6" s="673" t="s">
        <v>881</v>
      </c>
      <c r="AD6" s="673" t="s">
        <v>882</v>
      </c>
      <c r="AE6" s="673" t="s">
        <v>883</v>
      </c>
      <c r="AF6" s="669" t="s">
        <v>709</v>
      </c>
      <c r="AG6" s="673" t="s">
        <v>884</v>
      </c>
      <c r="AH6" s="673" t="s">
        <v>885</v>
      </c>
      <c r="AI6" s="673" t="s">
        <v>828</v>
      </c>
      <c r="AJ6" s="673" t="s">
        <v>115</v>
      </c>
      <c r="AK6" s="673" t="s">
        <v>829</v>
      </c>
      <c r="AL6" s="673" t="s">
        <v>116</v>
      </c>
      <c r="AM6" s="673" t="s">
        <v>830</v>
      </c>
      <c r="AN6" s="673" t="s">
        <v>831</v>
      </c>
      <c r="AO6" s="673" t="s">
        <v>832</v>
      </c>
      <c r="AP6" s="673" t="s">
        <v>834</v>
      </c>
      <c r="AQ6" s="673" t="s">
        <v>886</v>
      </c>
      <c r="AR6" s="673" t="s">
        <v>112</v>
      </c>
      <c r="AS6" s="673" t="s">
        <v>887</v>
      </c>
      <c r="AT6" s="673" t="s">
        <v>888</v>
      </c>
      <c r="AU6" s="673" t="s">
        <v>889</v>
      </c>
      <c r="AV6" s="673" t="s">
        <v>890</v>
      </c>
    </row>
    <row r="7" spans="1:48" ht="15.75" customHeight="1" x14ac:dyDescent="0.2">
      <c r="A7" s="674">
        <v>341001</v>
      </c>
      <c r="B7" s="675">
        <v>2</v>
      </c>
      <c r="C7" s="676" t="s">
        <v>546</v>
      </c>
      <c r="D7" s="677">
        <v>932</v>
      </c>
      <c r="E7" s="550"/>
      <c r="F7" s="678">
        <v>4751833.319342833</v>
      </c>
      <c r="G7" s="679">
        <v>520</v>
      </c>
      <c r="H7" s="550"/>
      <c r="I7" s="678">
        <v>352429.00384922471</v>
      </c>
      <c r="J7" s="680">
        <v>426</v>
      </c>
      <c r="K7" s="550"/>
      <c r="L7" s="678">
        <v>78646.514197296172</v>
      </c>
      <c r="M7" s="679">
        <v>103</v>
      </c>
      <c r="N7" s="550"/>
      <c r="O7" s="678">
        <v>474250.51193242008</v>
      </c>
      <c r="P7" s="679">
        <v>31</v>
      </c>
      <c r="Q7" s="550"/>
      <c r="R7" s="678">
        <v>57681.553521762318</v>
      </c>
      <c r="S7" s="552">
        <v>5714842</v>
      </c>
      <c r="T7" s="550">
        <v>0</v>
      </c>
      <c r="U7" s="550">
        <v>0</v>
      </c>
      <c r="V7" s="551">
        <v>0</v>
      </c>
      <c r="W7" s="552">
        <v>5714842</v>
      </c>
      <c r="X7" s="678">
        <v>-14286</v>
      </c>
      <c r="Y7" s="552">
        <v>5700556</v>
      </c>
      <c r="Z7" s="550">
        <v>0</v>
      </c>
      <c r="AA7" s="681">
        <v>214690</v>
      </c>
      <c r="AB7" s="552">
        <v>5915246</v>
      </c>
      <c r="AC7" s="550">
        <v>0</v>
      </c>
      <c r="AD7" s="550">
        <v>5915246</v>
      </c>
      <c r="AE7" s="552">
        <v>492939</v>
      </c>
      <c r="AF7" s="681">
        <v>36150</v>
      </c>
      <c r="AG7" s="553">
        <v>5951396</v>
      </c>
      <c r="AH7" s="682"/>
      <c r="AI7" s="683">
        <v>4343835</v>
      </c>
      <c r="AJ7" s="684">
        <v>0</v>
      </c>
      <c r="AK7" s="682">
        <v>0</v>
      </c>
      <c r="AL7" s="684">
        <v>0</v>
      </c>
      <c r="AM7" s="685">
        <v>0</v>
      </c>
      <c r="AN7" s="686">
        <v>0</v>
      </c>
      <c r="AO7" s="683">
        <v>4343835</v>
      </c>
      <c r="AP7" s="687">
        <v>-10859</v>
      </c>
      <c r="AQ7" s="683">
        <v>4332976</v>
      </c>
      <c r="AR7" s="685">
        <v>0</v>
      </c>
      <c r="AS7" s="683">
        <v>4332976</v>
      </c>
      <c r="AT7" s="685">
        <v>0</v>
      </c>
      <c r="AU7" s="685">
        <v>4332976</v>
      </c>
      <c r="AV7" s="683">
        <v>361081</v>
      </c>
    </row>
    <row r="8" spans="1:48" ht="15.75" customHeight="1" x14ac:dyDescent="0.2">
      <c r="A8" s="688">
        <v>343001</v>
      </c>
      <c r="B8" s="689">
        <v>1</v>
      </c>
      <c r="C8" s="690" t="s">
        <v>547</v>
      </c>
      <c r="D8" s="691">
        <v>592</v>
      </c>
      <c r="E8" s="692"/>
      <c r="F8" s="693">
        <v>2158422.4213609416</v>
      </c>
      <c r="G8" s="429">
        <v>442</v>
      </c>
      <c r="H8" s="427"/>
      <c r="I8" s="428">
        <v>203886.27566583434</v>
      </c>
      <c r="J8" s="694">
        <v>716</v>
      </c>
      <c r="K8" s="427"/>
      <c r="L8" s="428">
        <v>90133.415443966136</v>
      </c>
      <c r="M8" s="429">
        <v>29</v>
      </c>
      <c r="N8" s="427"/>
      <c r="O8" s="428">
        <v>91125.530526380942</v>
      </c>
      <c r="P8" s="429">
        <v>1</v>
      </c>
      <c r="Q8" s="427"/>
      <c r="R8" s="428">
        <v>1237.9284575960353</v>
      </c>
      <c r="S8" s="430">
        <v>2544806</v>
      </c>
      <c r="T8" s="427">
        <v>0</v>
      </c>
      <c r="U8" s="427">
        <v>0</v>
      </c>
      <c r="V8" s="431">
        <v>0</v>
      </c>
      <c r="W8" s="430">
        <v>2544806</v>
      </c>
      <c r="X8" s="428">
        <v>-6363</v>
      </c>
      <c r="Y8" s="430">
        <v>2538443</v>
      </c>
      <c r="Z8" s="427">
        <v>2741</v>
      </c>
      <c r="AA8" s="432">
        <v>138315</v>
      </c>
      <c r="AB8" s="430">
        <v>2679499</v>
      </c>
      <c r="AC8" s="427">
        <v>0</v>
      </c>
      <c r="AD8" s="427">
        <v>2679499</v>
      </c>
      <c r="AE8" s="430">
        <v>223292</v>
      </c>
      <c r="AF8" s="432">
        <v>59648</v>
      </c>
      <c r="AG8" s="505">
        <v>2739147</v>
      </c>
      <c r="AH8" s="695"/>
      <c r="AI8" s="696">
        <v>4584776</v>
      </c>
      <c r="AJ8" s="426">
        <v>0</v>
      </c>
      <c r="AK8" s="695">
        <v>0</v>
      </c>
      <c r="AL8" s="426">
        <v>0</v>
      </c>
      <c r="AM8" s="697">
        <v>0</v>
      </c>
      <c r="AN8" s="698">
        <v>0</v>
      </c>
      <c r="AO8" s="696">
        <v>4584776</v>
      </c>
      <c r="AP8" s="433">
        <v>-11463</v>
      </c>
      <c r="AQ8" s="696">
        <v>4573313</v>
      </c>
      <c r="AR8" s="697">
        <v>1915</v>
      </c>
      <c r="AS8" s="696">
        <v>4575228</v>
      </c>
      <c r="AT8" s="697">
        <v>0</v>
      </c>
      <c r="AU8" s="697">
        <v>4575228</v>
      </c>
      <c r="AV8" s="696">
        <v>381269</v>
      </c>
    </row>
    <row r="9" spans="1:48" ht="15.75" customHeight="1" x14ac:dyDescent="0.2">
      <c r="A9" s="688">
        <v>344001</v>
      </c>
      <c r="B9" s="689">
        <v>3</v>
      </c>
      <c r="C9" s="690" t="s">
        <v>548</v>
      </c>
      <c r="D9" s="691">
        <v>379</v>
      </c>
      <c r="E9" s="692"/>
      <c r="F9" s="693">
        <v>1349898.3369293213</v>
      </c>
      <c r="G9" s="429">
        <v>304</v>
      </c>
      <c r="H9" s="427"/>
      <c r="I9" s="428">
        <v>145965.82057255501</v>
      </c>
      <c r="J9" s="694">
        <v>396</v>
      </c>
      <c r="K9" s="427"/>
      <c r="L9" s="428">
        <v>51984.880475714337</v>
      </c>
      <c r="M9" s="429">
        <v>27</v>
      </c>
      <c r="N9" s="427"/>
      <c r="O9" s="428">
        <v>89192.907666171683</v>
      </c>
      <c r="P9" s="429">
        <v>0</v>
      </c>
      <c r="Q9" s="427"/>
      <c r="R9" s="428">
        <v>0</v>
      </c>
      <c r="S9" s="430">
        <v>1637042</v>
      </c>
      <c r="T9" s="427">
        <v>0</v>
      </c>
      <c r="U9" s="427">
        <v>0</v>
      </c>
      <c r="V9" s="431">
        <v>0</v>
      </c>
      <c r="W9" s="430">
        <v>1637042</v>
      </c>
      <c r="X9" s="428">
        <v>-4093</v>
      </c>
      <c r="Y9" s="430">
        <v>1632949</v>
      </c>
      <c r="Z9" s="427">
        <v>-1695</v>
      </c>
      <c r="AA9" s="432">
        <v>144145</v>
      </c>
      <c r="AB9" s="430">
        <v>1775399</v>
      </c>
      <c r="AC9" s="427">
        <v>0</v>
      </c>
      <c r="AD9" s="427">
        <v>1775399</v>
      </c>
      <c r="AE9" s="430">
        <v>147950</v>
      </c>
      <c r="AF9" s="432">
        <v>10000</v>
      </c>
      <c r="AG9" s="505">
        <v>1785399</v>
      </c>
      <c r="AH9" s="695"/>
      <c r="AI9" s="696">
        <v>2097168</v>
      </c>
      <c r="AJ9" s="426">
        <v>0</v>
      </c>
      <c r="AK9" s="695">
        <v>0</v>
      </c>
      <c r="AL9" s="426">
        <v>0</v>
      </c>
      <c r="AM9" s="697">
        <v>0</v>
      </c>
      <c r="AN9" s="698">
        <v>0</v>
      </c>
      <c r="AO9" s="696">
        <v>2097168</v>
      </c>
      <c r="AP9" s="433">
        <v>-5243</v>
      </c>
      <c r="AQ9" s="696">
        <v>2091925</v>
      </c>
      <c r="AR9" s="697">
        <v>-2851</v>
      </c>
      <c r="AS9" s="696">
        <v>2089074</v>
      </c>
      <c r="AT9" s="697">
        <v>0</v>
      </c>
      <c r="AU9" s="697">
        <v>2089074</v>
      </c>
      <c r="AV9" s="696">
        <v>174090</v>
      </c>
    </row>
    <row r="10" spans="1:48" ht="15.75" customHeight="1" x14ac:dyDescent="0.2">
      <c r="A10" s="688">
        <v>345001</v>
      </c>
      <c r="B10" s="689">
        <v>33</v>
      </c>
      <c r="C10" s="690" t="s">
        <v>891</v>
      </c>
      <c r="D10" s="691">
        <v>3491</v>
      </c>
      <c r="E10" s="692"/>
      <c r="F10" s="693">
        <v>13966881.394361369</v>
      </c>
      <c r="G10" s="429">
        <v>2147</v>
      </c>
      <c r="H10" s="427"/>
      <c r="I10" s="428">
        <v>1160226.4507526066</v>
      </c>
      <c r="J10" s="694">
        <v>2158</v>
      </c>
      <c r="K10" s="427"/>
      <c r="L10" s="428">
        <v>316945.51364197786</v>
      </c>
      <c r="M10" s="429">
        <v>433</v>
      </c>
      <c r="N10" s="427"/>
      <c r="O10" s="428">
        <v>1588533.210198195</v>
      </c>
      <c r="P10" s="429">
        <v>198</v>
      </c>
      <c r="Q10" s="427"/>
      <c r="R10" s="428">
        <v>281143.9068192984</v>
      </c>
      <c r="S10" s="430">
        <v>17313732</v>
      </c>
      <c r="T10" s="427">
        <v>0</v>
      </c>
      <c r="U10" s="427">
        <v>0</v>
      </c>
      <c r="V10" s="431">
        <v>0</v>
      </c>
      <c r="W10" s="430">
        <v>17313732</v>
      </c>
      <c r="X10" s="428">
        <v>-43282</v>
      </c>
      <c r="Y10" s="430">
        <v>17270450</v>
      </c>
      <c r="Z10" s="427">
        <v>-19752</v>
      </c>
      <c r="AA10" s="432">
        <v>682407</v>
      </c>
      <c r="AB10" s="430">
        <v>17933105</v>
      </c>
      <c r="AC10" s="427">
        <v>0</v>
      </c>
      <c r="AD10" s="427">
        <v>17933105</v>
      </c>
      <c r="AE10" s="430">
        <v>1494425</v>
      </c>
      <c r="AF10" s="432">
        <v>55129</v>
      </c>
      <c r="AG10" s="505">
        <v>17988234</v>
      </c>
      <c r="AH10" s="695"/>
      <c r="AI10" s="696">
        <v>17167244</v>
      </c>
      <c r="AJ10" s="426">
        <v>0</v>
      </c>
      <c r="AK10" s="695">
        <v>0</v>
      </c>
      <c r="AL10" s="426">
        <v>0</v>
      </c>
      <c r="AM10" s="697">
        <v>0</v>
      </c>
      <c r="AN10" s="698">
        <v>0</v>
      </c>
      <c r="AO10" s="696">
        <v>17167244</v>
      </c>
      <c r="AP10" s="433">
        <v>-42915</v>
      </c>
      <c r="AQ10" s="696">
        <v>17124329</v>
      </c>
      <c r="AR10" s="697">
        <v>-15532</v>
      </c>
      <c r="AS10" s="696">
        <v>17108797</v>
      </c>
      <c r="AT10" s="697">
        <v>0</v>
      </c>
      <c r="AU10" s="697">
        <v>17108797</v>
      </c>
      <c r="AV10" s="696">
        <v>1425737</v>
      </c>
    </row>
    <row r="11" spans="1:48" ht="15.75" customHeight="1" x14ac:dyDescent="0.2">
      <c r="A11" s="699">
        <v>346001</v>
      </c>
      <c r="B11" s="700">
        <v>6</v>
      </c>
      <c r="C11" s="701" t="s">
        <v>550</v>
      </c>
      <c r="D11" s="702">
        <v>823</v>
      </c>
      <c r="E11" s="703"/>
      <c r="F11" s="704">
        <v>2717088.5785284215</v>
      </c>
      <c r="G11" s="439">
        <v>823</v>
      </c>
      <c r="H11" s="437"/>
      <c r="I11" s="438">
        <v>386504.34037919616</v>
      </c>
      <c r="J11" s="705">
        <v>254.5</v>
      </c>
      <c r="K11" s="437"/>
      <c r="L11" s="438">
        <v>32566.220026076709</v>
      </c>
      <c r="M11" s="439">
        <v>88</v>
      </c>
      <c r="N11" s="437"/>
      <c r="O11" s="438">
        <v>281051.98074096371</v>
      </c>
      <c r="P11" s="439">
        <v>16</v>
      </c>
      <c r="Q11" s="437"/>
      <c r="R11" s="438">
        <v>20440.144053888274</v>
      </c>
      <c r="S11" s="440">
        <v>3437652</v>
      </c>
      <c r="T11" s="437">
        <v>0</v>
      </c>
      <c r="U11" s="437">
        <v>0</v>
      </c>
      <c r="V11" s="441">
        <v>0</v>
      </c>
      <c r="W11" s="440">
        <v>3437652</v>
      </c>
      <c r="X11" s="438">
        <v>-8594</v>
      </c>
      <c r="Y11" s="440">
        <v>3429058</v>
      </c>
      <c r="Z11" s="437">
        <v>0</v>
      </c>
      <c r="AA11" s="442">
        <v>188556</v>
      </c>
      <c r="AB11" s="440">
        <v>3617614</v>
      </c>
      <c r="AC11" s="443">
        <v>0</v>
      </c>
      <c r="AD11" s="437">
        <v>3617614</v>
      </c>
      <c r="AE11" s="444">
        <v>301467</v>
      </c>
      <c r="AF11" s="442">
        <v>0</v>
      </c>
      <c r="AG11" s="444">
        <v>3617614</v>
      </c>
      <c r="AH11" s="706"/>
      <c r="AI11" s="707">
        <v>6507800</v>
      </c>
      <c r="AJ11" s="436">
        <v>0</v>
      </c>
      <c r="AK11" s="706">
        <v>0</v>
      </c>
      <c r="AL11" s="436">
        <v>0</v>
      </c>
      <c r="AM11" s="708">
        <v>0</v>
      </c>
      <c r="AN11" s="709">
        <v>0</v>
      </c>
      <c r="AO11" s="707">
        <v>6507800</v>
      </c>
      <c r="AP11" s="445">
        <v>-16269</v>
      </c>
      <c r="AQ11" s="707">
        <v>6491531</v>
      </c>
      <c r="AR11" s="708">
        <v>0</v>
      </c>
      <c r="AS11" s="707">
        <v>6491531</v>
      </c>
      <c r="AT11" s="708">
        <v>0</v>
      </c>
      <c r="AU11" s="708">
        <v>6491531</v>
      </c>
      <c r="AV11" s="707">
        <v>540961</v>
      </c>
    </row>
    <row r="12" spans="1:48" ht="15.75" customHeight="1" x14ac:dyDescent="0.2">
      <c r="A12" s="674">
        <v>347001</v>
      </c>
      <c r="B12" s="710">
        <v>5</v>
      </c>
      <c r="C12" s="548" t="s">
        <v>551</v>
      </c>
      <c r="D12" s="684">
        <v>994</v>
      </c>
      <c r="E12" s="550"/>
      <c r="F12" s="678">
        <v>3594259.9075848493</v>
      </c>
      <c r="G12" s="679">
        <v>479</v>
      </c>
      <c r="H12" s="550"/>
      <c r="I12" s="678">
        <v>230813.08346393215</v>
      </c>
      <c r="J12" s="680">
        <v>0</v>
      </c>
      <c r="K12" s="550"/>
      <c r="L12" s="678">
        <v>0</v>
      </c>
      <c r="M12" s="679">
        <v>106</v>
      </c>
      <c r="N12" s="550"/>
      <c r="O12" s="678">
        <v>348414.50234726339</v>
      </c>
      <c r="P12" s="679">
        <v>125</v>
      </c>
      <c r="Q12" s="550"/>
      <c r="R12" s="678">
        <v>163158.5752095592</v>
      </c>
      <c r="S12" s="552">
        <v>4336647</v>
      </c>
      <c r="T12" s="550">
        <v>0</v>
      </c>
      <c r="U12" s="550">
        <v>0</v>
      </c>
      <c r="V12" s="551">
        <v>0</v>
      </c>
      <c r="W12" s="552">
        <v>4336647</v>
      </c>
      <c r="X12" s="678">
        <v>-10841</v>
      </c>
      <c r="Y12" s="552">
        <v>4325806</v>
      </c>
      <c r="Z12" s="550">
        <v>5843</v>
      </c>
      <c r="AA12" s="681">
        <v>1181050</v>
      </c>
      <c r="AB12" s="552">
        <v>5512699</v>
      </c>
      <c r="AC12" s="550">
        <v>0</v>
      </c>
      <c r="AD12" s="550">
        <v>5512699</v>
      </c>
      <c r="AE12" s="552">
        <v>459393</v>
      </c>
      <c r="AF12" s="681">
        <v>10000</v>
      </c>
      <c r="AG12" s="553">
        <v>5522699</v>
      </c>
      <c r="AH12" s="682"/>
      <c r="AI12" s="683">
        <v>5908149</v>
      </c>
      <c r="AJ12" s="684">
        <v>0</v>
      </c>
      <c r="AK12" s="682">
        <v>0</v>
      </c>
      <c r="AL12" s="684">
        <v>0</v>
      </c>
      <c r="AM12" s="685">
        <v>0</v>
      </c>
      <c r="AN12" s="686">
        <v>0</v>
      </c>
      <c r="AO12" s="683">
        <v>5908149</v>
      </c>
      <c r="AP12" s="687">
        <v>-14770</v>
      </c>
      <c r="AQ12" s="683">
        <v>5893379</v>
      </c>
      <c r="AR12" s="685">
        <v>5951</v>
      </c>
      <c r="AS12" s="683">
        <v>5899330</v>
      </c>
      <c r="AT12" s="685">
        <v>0</v>
      </c>
      <c r="AU12" s="685">
        <v>5899330</v>
      </c>
      <c r="AV12" s="683">
        <v>491611</v>
      </c>
    </row>
    <row r="13" spans="1:48" ht="15.75" customHeight="1" x14ac:dyDescent="0.2">
      <c r="A13" s="688">
        <v>348001</v>
      </c>
      <c r="B13" s="711">
        <v>4</v>
      </c>
      <c r="C13" s="425" t="s">
        <v>892</v>
      </c>
      <c r="D13" s="426">
        <v>998</v>
      </c>
      <c r="E13" s="427"/>
      <c r="F13" s="428">
        <v>3789456.75587377</v>
      </c>
      <c r="G13" s="429">
        <v>769</v>
      </c>
      <c r="H13" s="427"/>
      <c r="I13" s="428">
        <v>372813.62705995672</v>
      </c>
      <c r="J13" s="694">
        <v>1427</v>
      </c>
      <c r="K13" s="427"/>
      <c r="L13" s="428">
        <v>188434.79566005542</v>
      </c>
      <c r="M13" s="429">
        <v>80</v>
      </c>
      <c r="N13" s="427"/>
      <c r="O13" s="428">
        <v>260836.01982428448</v>
      </c>
      <c r="P13" s="429">
        <v>0</v>
      </c>
      <c r="Q13" s="427"/>
      <c r="R13" s="428">
        <v>0</v>
      </c>
      <c r="S13" s="430">
        <v>4611540</v>
      </c>
      <c r="T13" s="427">
        <v>0</v>
      </c>
      <c r="U13" s="427">
        <v>0</v>
      </c>
      <c r="V13" s="431">
        <v>0</v>
      </c>
      <c r="W13" s="430">
        <v>4611540</v>
      </c>
      <c r="X13" s="428">
        <v>-11529</v>
      </c>
      <c r="Y13" s="430">
        <v>4600011</v>
      </c>
      <c r="Z13" s="427">
        <v>0</v>
      </c>
      <c r="AA13" s="432">
        <v>298161</v>
      </c>
      <c r="AB13" s="430">
        <v>4898172</v>
      </c>
      <c r="AC13" s="427">
        <v>0</v>
      </c>
      <c r="AD13" s="427">
        <v>4898172</v>
      </c>
      <c r="AE13" s="430">
        <v>408181</v>
      </c>
      <c r="AF13" s="432">
        <v>28920</v>
      </c>
      <c r="AG13" s="505">
        <v>4927092</v>
      </c>
      <c r="AH13" s="695"/>
      <c r="AI13" s="696">
        <v>6377696</v>
      </c>
      <c r="AJ13" s="426">
        <v>0</v>
      </c>
      <c r="AK13" s="695">
        <v>0</v>
      </c>
      <c r="AL13" s="426">
        <v>0</v>
      </c>
      <c r="AM13" s="697">
        <v>0</v>
      </c>
      <c r="AN13" s="698">
        <v>0</v>
      </c>
      <c r="AO13" s="696">
        <v>6377696</v>
      </c>
      <c r="AP13" s="433">
        <v>-15945</v>
      </c>
      <c r="AQ13" s="696">
        <v>6361751</v>
      </c>
      <c r="AR13" s="697">
        <v>0</v>
      </c>
      <c r="AS13" s="696">
        <v>6361751</v>
      </c>
      <c r="AT13" s="697">
        <v>0</v>
      </c>
      <c r="AU13" s="697">
        <v>6361751</v>
      </c>
      <c r="AV13" s="696">
        <v>530146</v>
      </c>
    </row>
    <row r="14" spans="1:48" ht="15.75" customHeight="1" x14ac:dyDescent="0.2">
      <c r="A14" s="688" t="s">
        <v>553</v>
      </c>
      <c r="B14" s="711">
        <v>30</v>
      </c>
      <c r="C14" s="425" t="s">
        <v>554</v>
      </c>
      <c r="D14" s="426">
        <v>224</v>
      </c>
      <c r="E14" s="427"/>
      <c r="F14" s="428">
        <v>1120130.5685223003</v>
      </c>
      <c r="G14" s="429">
        <v>213</v>
      </c>
      <c r="H14" s="427"/>
      <c r="I14" s="428">
        <v>146668.26574275721</v>
      </c>
      <c r="J14" s="694">
        <v>0</v>
      </c>
      <c r="K14" s="427"/>
      <c r="L14" s="428">
        <v>0</v>
      </c>
      <c r="M14" s="429">
        <v>22</v>
      </c>
      <c r="N14" s="427"/>
      <c r="O14" s="428">
        <v>103399.74064512327</v>
      </c>
      <c r="P14" s="429">
        <v>0</v>
      </c>
      <c r="Q14" s="427"/>
      <c r="R14" s="428">
        <v>0</v>
      </c>
      <c r="S14" s="430">
        <v>1370199</v>
      </c>
      <c r="T14" s="427">
        <v>0</v>
      </c>
      <c r="U14" s="427">
        <v>0</v>
      </c>
      <c r="V14" s="431">
        <v>0</v>
      </c>
      <c r="W14" s="430">
        <v>1370199</v>
      </c>
      <c r="X14" s="428">
        <v>-3425</v>
      </c>
      <c r="Y14" s="430">
        <v>1366774</v>
      </c>
      <c r="Z14" s="427">
        <v>0</v>
      </c>
      <c r="AA14" s="432">
        <v>0</v>
      </c>
      <c r="AB14" s="430">
        <v>1366774</v>
      </c>
      <c r="AC14" s="427">
        <v>0</v>
      </c>
      <c r="AD14" s="427">
        <v>1366774</v>
      </c>
      <c r="AE14" s="430">
        <v>113897</v>
      </c>
      <c r="AF14" s="432">
        <v>10000</v>
      </c>
      <c r="AG14" s="505">
        <v>1376774</v>
      </c>
      <c r="AH14" s="695"/>
      <c r="AI14" s="696">
        <v>676884</v>
      </c>
      <c r="AJ14" s="426">
        <v>0</v>
      </c>
      <c r="AK14" s="695">
        <v>0</v>
      </c>
      <c r="AL14" s="426">
        <v>0</v>
      </c>
      <c r="AM14" s="697">
        <v>0</v>
      </c>
      <c r="AN14" s="698">
        <v>0</v>
      </c>
      <c r="AO14" s="696">
        <v>676884</v>
      </c>
      <c r="AP14" s="433">
        <v>-1692</v>
      </c>
      <c r="AQ14" s="696">
        <v>675192</v>
      </c>
      <c r="AR14" s="697">
        <v>0</v>
      </c>
      <c r="AS14" s="696">
        <v>675192</v>
      </c>
      <c r="AT14" s="697">
        <v>0</v>
      </c>
      <c r="AU14" s="697">
        <v>675192</v>
      </c>
      <c r="AV14" s="696">
        <v>56266</v>
      </c>
    </row>
    <row r="15" spans="1:48" ht="15.75" customHeight="1" x14ac:dyDescent="0.2">
      <c r="A15" s="688" t="s">
        <v>555</v>
      </c>
      <c r="B15" s="711">
        <v>31</v>
      </c>
      <c r="C15" s="425" t="s">
        <v>556</v>
      </c>
      <c r="D15" s="426">
        <v>220</v>
      </c>
      <c r="E15" s="427"/>
      <c r="F15" s="428">
        <v>1019116.6343629056</v>
      </c>
      <c r="G15" s="429">
        <v>190</v>
      </c>
      <c r="H15" s="427"/>
      <c r="I15" s="428">
        <v>125632.03457364041</v>
      </c>
      <c r="J15" s="694">
        <v>0</v>
      </c>
      <c r="K15" s="427"/>
      <c r="L15" s="428">
        <v>0</v>
      </c>
      <c r="M15" s="429">
        <v>25</v>
      </c>
      <c r="N15" s="427"/>
      <c r="O15" s="428">
        <v>112708.16498831377</v>
      </c>
      <c r="P15" s="429">
        <v>5</v>
      </c>
      <c r="Q15" s="427"/>
      <c r="R15" s="428">
        <v>9016.6531990651019</v>
      </c>
      <c r="S15" s="430">
        <v>1266473</v>
      </c>
      <c r="T15" s="427">
        <v>0</v>
      </c>
      <c r="U15" s="427">
        <v>0</v>
      </c>
      <c r="V15" s="431">
        <v>0</v>
      </c>
      <c r="W15" s="430">
        <v>1266473</v>
      </c>
      <c r="X15" s="428">
        <v>-3166</v>
      </c>
      <c r="Y15" s="430">
        <v>1263307</v>
      </c>
      <c r="Z15" s="427">
        <v>0</v>
      </c>
      <c r="AA15" s="432">
        <v>0</v>
      </c>
      <c r="AB15" s="430">
        <v>1263307</v>
      </c>
      <c r="AC15" s="427">
        <v>0</v>
      </c>
      <c r="AD15" s="427">
        <v>1263307</v>
      </c>
      <c r="AE15" s="430">
        <v>105276</v>
      </c>
      <c r="AF15" s="432">
        <v>0</v>
      </c>
      <c r="AG15" s="505">
        <v>1263307</v>
      </c>
      <c r="AH15" s="695"/>
      <c r="AI15" s="696">
        <v>721600</v>
      </c>
      <c r="AJ15" s="426">
        <v>0</v>
      </c>
      <c r="AK15" s="695">
        <v>0</v>
      </c>
      <c r="AL15" s="426">
        <v>0</v>
      </c>
      <c r="AM15" s="697">
        <v>0</v>
      </c>
      <c r="AN15" s="698">
        <v>0</v>
      </c>
      <c r="AO15" s="696">
        <v>721600</v>
      </c>
      <c r="AP15" s="433">
        <v>-1804</v>
      </c>
      <c r="AQ15" s="696">
        <v>719796</v>
      </c>
      <c r="AR15" s="697">
        <v>0</v>
      </c>
      <c r="AS15" s="696">
        <v>719796</v>
      </c>
      <c r="AT15" s="697">
        <v>0</v>
      </c>
      <c r="AU15" s="697">
        <v>719796</v>
      </c>
      <c r="AV15" s="696">
        <v>59983</v>
      </c>
    </row>
    <row r="16" spans="1:48" ht="15.75" customHeight="1" x14ac:dyDescent="0.2">
      <c r="A16" s="699" t="s">
        <v>557</v>
      </c>
      <c r="B16" s="712">
        <v>23</v>
      </c>
      <c r="C16" s="435" t="s">
        <v>558</v>
      </c>
      <c r="D16" s="436">
        <v>107</v>
      </c>
      <c r="E16" s="437"/>
      <c r="F16" s="438">
        <v>378236.11066872184</v>
      </c>
      <c r="G16" s="439">
        <v>91</v>
      </c>
      <c r="H16" s="437"/>
      <c r="I16" s="438">
        <v>43241.722409790593</v>
      </c>
      <c r="J16" s="705">
        <v>0</v>
      </c>
      <c r="K16" s="437"/>
      <c r="L16" s="438">
        <v>0</v>
      </c>
      <c r="M16" s="439">
        <v>24</v>
      </c>
      <c r="N16" s="437"/>
      <c r="O16" s="438">
        <v>76708.060073206376</v>
      </c>
      <c r="P16" s="439">
        <v>0</v>
      </c>
      <c r="Q16" s="437"/>
      <c r="R16" s="438">
        <v>0</v>
      </c>
      <c r="S16" s="440">
        <v>498185</v>
      </c>
      <c r="T16" s="437">
        <v>0</v>
      </c>
      <c r="U16" s="437">
        <v>0</v>
      </c>
      <c r="V16" s="441">
        <v>0</v>
      </c>
      <c r="W16" s="440">
        <v>498185</v>
      </c>
      <c r="X16" s="438">
        <v>-1245</v>
      </c>
      <c r="Y16" s="440">
        <v>496940</v>
      </c>
      <c r="Z16" s="437">
        <v>0</v>
      </c>
      <c r="AA16" s="442">
        <v>28391</v>
      </c>
      <c r="AB16" s="440">
        <v>525331</v>
      </c>
      <c r="AC16" s="443">
        <v>0</v>
      </c>
      <c r="AD16" s="437">
        <v>525331</v>
      </c>
      <c r="AE16" s="444">
        <v>43778</v>
      </c>
      <c r="AF16" s="442">
        <v>0</v>
      </c>
      <c r="AG16" s="444">
        <v>525331</v>
      </c>
      <c r="AH16" s="706"/>
      <c r="AI16" s="707">
        <v>661252</v>
      </c>
      <c r="AJ16" s="436">
        <v>0</v>
      </c>
      <c r="AK16" s="706">
        <v>0</v>
      </c>
      <c r="AL16" s="436">
        <v>0</v>
      </c>
      <c r="AM16" s="708">
        <v>0</v>
      </c>
      <c r="AN16" s="709">
        <v>0</v>
      </c>
      <c r="AO16" s="707">
        <v>661252</v>
      </c>
      <c r="AP16" s="445">
        <v>-1652</v>
      </c>
      <c r="AQ16" s="707">
        <v>659600</v>
      </c>
      <c r="AR16" s="708">
        <v>0</v>
      </c>
      <c r="AS16" s="707">
        <v>659600</v>
      </c>
      <c r="AT16" s="708">
        <v>0</v>
      </c>
      <c r="AU16" s="708">
        <v>659600</v>
      </c>
      <c r="AV16" s="707">
        <v>54967</v>
      </c>
    </row>
    <row r="17" spans="1:48" ht="15.75" customHeight="1" x14ac:dyDescent="0.2">
      <c r="A17" s="674" t="s">
        <v>559</v>
      </c>
      <c r="B17" s="710">
        <v>10</v>
      </c>
      <c r="C17" s="548" t="s">
        <v>560</v>
      </c>
      <c r="D17" s="684">
        <v>183</v>
      </c>
      <c r="E17" s="550"/>
      <c r="F17" s="678">
        <v>705905.57082358026</v>
      </c>
      <c r="G17" s="679">
        <v>146</v>
      </c>
      <c r="H17" s="550"/>
      <c r="I17" s="678">
        <v>71324.973483218142</v>
      </c>
      <c r="J17" s="680">
        <v>96</v>
      </c>
      <c r="K17" s="550"/>
      <c r="L17" s="678">
        <v>12632.94062364055</v>
      </c>
      <c r="M17" s="679">
        <v>22</v>
      </c>
      <c r="N17" s="550"/>
      <c r="O17" s="678">
        <v>73262.635628692733</v>
      </c>
      <c r="P17" s="679">
        <v>0</v>
      </c>
      <c r="Q17" s="550"/>
      <c r="R17" s="678">
        <v>0</v>
      </c>
      <c r="S17" s="552">
        <v>863125</v>
      </c>
      <c r="T17" s="550">
        <v>0</v>
      </c>
      <c r="U17" s="550">
        <v>0</v>
      </c>
      <c r="V17" s="551">
        <v>0</v>
      </c>
      <c r="W17" s="552">
        <v>863125</v>
      </c>
      <c r="X17" s="678">
        <v>-2158</v>
      </c>
      <c r="Y17" s="552">
        <v>860967</v>
      </c>
      <c r="Z17" s="550">
        <v>-6041</v>
      </c>
      <c r="AA17" s="681">
        <v>55485</v>
      </c>
      <c r="AB17" s="552">
        <v>910411</v>
      </c>
      <c r="AC17" s="550">
        <v>0</v>
      </c>
      <c r="AD17" s="550">
        <v>910411</v>
      </c>
      <c r="AE17" s="552">
        <v>75868</v>
      </c>
      <c r="AF17" s="681">
        <v>10000</v>
      </c>
      <c r="AG17" s="553">
        <v>920411</v>
      </c>
      <c r="AH17" s="682"/>
      <c r="AI17" s="683">
        <v>1193983</v>
      </c>
      <c r="AJ17" s="684">
        <v>0</v>
      </c>
      <c r="AK17" s="682">
        <v>0</v>
      </c>
      <c r="AL17" s="684">
        <v>0</v>
      </c>
      <c r="AM17" s="685">
        <v>0</v>
      </c>
      <c r="AN17" s="686">
        <v>0</v>
      </c>
      <c r="AO17" s="683">
        <v>1193983</v>
      </c>
      <c r="AP17" s="687">
        <v>-2985</v>
      </c>
      <c r="AQ17" s="683">
        <v>1190998</v>
      </c>
      <c r="AR17" s="685">
        <v>-7970</v>
      </c>
      <c r="AS17" s="683">
        <v>1183028</v>
      </c>
      <c r="AT17" s="685">
        <v>0</v>
      </c>
      <c r="AU17" s="685">
        <v>1183028</v>
      </c>
      <c r="AV17" s="683">
        <v>98585</v>
      </c>
    </row>
    <row r="18" spans="1:48" ht="15.75" customHeight="1" x14ac:dyDescent="0.2">
      <c r="A18" s="688" t="s">
        <v>561</v>
      </c>
      <c r="B18" s="711">
        <v>14</v>
      </c>
      <c r="C18" s="425" t="s">
        <v>562</v>
      </c>
      <c r="D18" s="426">
        <v>518</v>
      </c>
      <c r="E18" s="427"/>
      <c r="F18" s="428">
        <v>2368268.488577737</v>
      </c>
      <c r="G18" s="429">
        <v>504</v>
      </c>
      <c r="H18" s="427"/>
      <c r="I18" s="428">
        <v>293656.40989896067</v>
      </c>
      <c r="J18" s="694">
        <v>232</v>
      </c>
      <c r="K18" s="427"/>
      <c r="L18" s="428">
        <v>37699.394972701106</v>
      </c>
      <c r="M18" s="429">
        <v>42</v>
      </c>
      <c r="N18" s="427"/>
      <c r="O18" s="428">
        <v>165635.51013748412</v>
      </c>
      <c r="P18" s="429">
        <v>0</v>
      </c>
      <c r="Q18" s="427"/>
      <c r="R18" s="428">
        <v>0</v>
      </c>
      <c r="S18" s="430">
        <v>2865260</v>
      </c>
      <c r="T18" s="427">
        <v>0</v>
      </c>
      <c r="U18" s="427">
        <v>0</v>
      </c>
      <c r="V18" s="431">
        <v>0</v>
      </c>
      <c r="W18" s="430">
        <v>2865260</v>
      </c>
      <c r="X18" s="428">
        <v>-7164</v>
      </c>
      <c r="Y18" s="430">
        <v>2858096</v>
      </c>
      <c r="Z18" s="427">
        <v>0</v>
      </c>
      <c r="AA18" s="432">
        <v>120147</v>
      </c>
      <c r="AB18" s="430">
        <v>2978243</v>
      </c>
      <c r="AC18" s="427">
        <v>0</v>
      </c>
      <c r="AD18" s="427">
        <v>2978243</v>
      </c>
      <c r="AE18" s="430">
        <v>248186</v>
      </c>
      <c r="AF18" s="432">
        <v>0</v>
      </c>
      <c r="AG18" s="505">
        <v>2978243</v>
      </c>
      <c r="AH18" s="695"/>
      <c r="AI18" s="696">
        <v>2968936</v>
      </c>
      <c r="AJ18" s="426">
        <v>0</v>
      </c>
      <c r="AK18" s="695">
        <v>0</v>
      </c>
      <c r="AL18" s="426">
        <v>0</v>
      </c>
      <c r="AM18" s="697">
        <v>0</v>
      </c>
      <c r="AN18" s="698">
        <v>0</v>
      </c>
      <c r="AO18" s="696">
        <v>2968936</v>
      </c>
      <c r="AP18" s="433">
        <v>-7422</v>
      </c>
      <c r="AQ18" s="696">
        <v>2961514</v>
      </c>
      <c r="AR18" s="697">
        <v>0</v>
      </c>
      <c r="AS18" s="696">
        <v>2961514</v>
      </c>
      <c r="AT18" s="697">
        <v>0</v>
      </c>
      <c r="AU18" s="697">
        <v>2961514</v>
      </c>
      <c r="AV18" s="696">
        <v>246792</v>
      </c>
    </row>
    <row r="19" spans="1:48" ht="15.75" customHeight="1" x14ac:dyDescent="0.2">
      <c r="A19" s="688" t="s">
        <v>563</v>
      </c>
      <c r="B19" s="711">
        <v>24</v>
      </c>
      <c r="C19" s="425" t="s">
        <v>564</v>
      </c>
      <c r="D19" s="426">
        <v>67</v>
      </c>
      <c r="E19" s="427"/>
      <c r="F19" s="428">
        <v>260497.08192270363</v>
      </c>
      <c r="G19" s="429">
        <v>59</v>
      </c>
      <c r="H19" s="427"/>
      <c r="I19" s="428">
        <v>31272.112934243978</v>
      </c>
      <c r="J19" s="694">
        <v>16</v>
      </c>
      <c r="K19" s="427"/>
      <c r="L19" s="428">
        <v>2262.2245237851598</v>
      </c>
      <c r="M19" s="429">
        <v>13</v>
      </c>
      <c r="N19" s="427"/>
      <c r="O19" s="428">
        <v>48150.683105455479</v>
      </c>
      <c r="P19" s="429">
        <v>0</v>
      </c>
      <c r="Q19" s="427"/>
      <c r="R19" s="428">
        <v>0</v>
      </c>
      <c r="S19" s="430">
        <v>342181</v>
      </c>
      <c r="T19" s="427">
        <v>0</v>
      </c>
      <c r="U19" s="427">
        <v>0</v>
      </c>
      <c r="V19" s="431">
        <v>0</v>
      </c>
      <c r="W19" s="430">
        <v>342181</v>
      </c>
      <c r="X19" s="428">
        <v>-855</v>
      </c>
      <c r="Y19" s="430">
        <v>341326</v>
      </c>
      <c r="Z19" s="427">
        <v>0</v>
      </c>
      <c r="AA19" s="432">
        <v>27767</v>
      </c>
      <c r="AB19" s="430">
        <v>369093</v>
      </c>
      <c r="AC19" s="427">
        <v>0</v>
      </c>
      <c r="AD19" s="427">
        <v>369093</v>
      </c>
      <c r="AE19" s="430">
        <v>30757</v>
      </c>
      <c r="AF19" s="432">
        <v>10000</v>
      </c>
      <c r="AG19" s="505">
        <v>379093</v>
      </c>
      <c r="AH19" s="695"/>
      <c r="AI19" s="696">
        <v>373633</v>
      </c>
      <c r="AJ19" s="426">
        <v>0</v>
      </c>
      <c r="AK19" s="695">
        <v>0</v>
      </c>
      <c r="AL19" s="426">
        <v>0</v>
      </c>
      <c r="AM19" s="697">
        <v>0</v>
      </c>
      <c r="AN19" s="698">
        <v>0</v>
      </c>
      <c r="AO19" s="696">
        <v>373633</v>
      </c>
      <c r="AP19" s="433">
        <v>-935</v>
      </c>
      <c r="AQ19" s="696">
        <v>372698</v>
      </c>
      <c r="AR19" s="697">
        <v>0</v>
      </c>
      <c r="AS19" s="696">
        <v>372698</v>
      </c>
      <c r="AT19" s="697">
        <v>0</v>
      </c>
      <c r="AU19" s="697">
        <v>372698</v>
      </c>
      <c r="AV19" s="696">
        <v>31057</v>
      </c>
    </row>
    <row r="20" spans="1:48" ht="15.75" customHeight="1" x14ac:dyDescent="0.2">
      <c r="A20" s="688" t="s">
        <v>565</v>
      </c>
      <c r="B20" s="711">
        <v>20</v>
      </c>
      <c r="C20" s="425" t="s">
        <v>566</v>
      </c>
      <c r="D20" s="426">
        <v>621</v>
      </c>
      <c r="E20" s="427"/>
      <c r="F20" s="428">
        <v>2376099.242024411</v>
      </c>
      <c r="G20" s="429">
        <v>618</v>
      </c>
      <c r="H20" s="427"/>
      <c r="I20" s="428">
        <v>322742.9159820333</v>
      </c>
      <c r="J20" s="694">
        <v>204</v>
      </c>
      <c r="K20" s="427"/>
      <c r="L20" s="428">
        <v>29091.373634599924</v>
      </c>
      <c r="M20" s="429">
        <v>62</v>
      </c>
      <c r="N20" s="427"/>
      <c r="O20" s="428">
        <v>219682.42257990915</v>
      </c>
      <c r="P20" s="429">
        <v>0</v>
      </c>
      <c r="Q20" s="427"/>
      <c r="R20" s="428">
        <v>0</v>
      </c>
      <c r="S20" s="430">
        <v>2947616</v>
      </c>
      <c r="T20" s="427">
        <v>0</v>
      </c>
      <c r="U20" s="427">
        <v>0</v>
      </c>
      <c r="V20" s="431">
        <v>0</v>
      </c>
      <c r="W20" s="430">
        <v>2947616</v>
      </c>
      <c r="X20" s="428">
        <v>-7369</v>
      </c>
      <c r="Y20" s="430">
        <v>2940247</v>
      </c>
      <c r="Z20" s="427">
        <v>0</v>
      </c>
      <c r="AA20" s="432">
        <v>140420</v>
      </c>
      <c r="AB20" s="430">
        <v>3080667</v>
      </c>
      <c r="AC20" s="427">
        <v>0</v>
      </c>
      <c r="AD20" s="427">
        <v>3080667</v>
      </c>
      <c r="AE20" s="430">
        <v>256722</v>
      </c>
      <c r="AF20" s="432">
        <v>0</v>
      </c>
      <c r="AG20" s="505">
        <v>3080667</v>
      </c>
      <c r="AH20" s="695"/>
      <c r="AI20" s="696">
        <v>3530077</v>
      </c>
      <c r="AJ20" s="426">
        <v>0</v>
      </c>
      <c r="AK20" s="695">
        <v>0</v>
      </c>
      <c r="AL20" s="426">
        <v>0</v>
      </c>
      <c r="AM20" s="697">
        <v>0</v>
      </c>
      <c r="AN20" s="698">
        <v>0</v>
      </c>
      <c r="AO20" s="696">
        <v>3530077</v>
      </c>
      <c r="AP20" s="433">
        <v>-8824</v>
      </c>
      <c r="AQ20" s="696">
        <v>3521253</v>
      </c>
      <c r="AR20" s="697">
        <v>0</v>
      </c>
      <c r="AS20" s="696">
        <v>3521253</v>
      </c>
      <c r="AT20" s="697">
        <v>0</v>
      </c>
      <c r="AU20" s="697">
        <v>3521253</v>
      </c>
      <c r="AV20" s="696">
        <v>293438</v>
      </c>
    </row>
    <row r="21" spans="1:48" ht="15.75" customHeight="1" x14ac:dyDescent="0.2">
      <c r="A21" s="699" t="s">
        <v>567</v>
      </c>
      <c r="B21" s="712">
        <v>22</v>
      </c>
      <c r="C21" s="435" t="s">
        <v>568</v>
      </c>
      <c r="D21" s="436">
        <v>569</v>
      </c>
      <c r="E21" s="437"/>
      <c r="F21" s="438">
        <v>2447412.345152786</v>
      </c>
      <c r="G21" s="439">
        <v>550</v>
      </c>
      <c r="H21" s="437"/>
      <c r="I21" s="438">
        <v>318029.91398788104</v>
      </c>
      <c r="J21" s="705">
        <v>117</v>
      </c>
      <c r="K21" s="437"/>
      <c r="L21" s="438">
        <v>18766.466598364801</v>
      </c>
      <c r="M21" s="439">
        <v>106</v>
      </c>
      <c r="N21" s="437"/>
      <c r="O21" s="438">
        <v>414820.95455601567</v>
      </c>
      <c r="P21" s="439">
        <v>7</v>
      </c>
      <c r="Q21" s="437"/>
      <c r="R21" s="438">
        <v>11692.300375281015</v>
      </c>
      <c r="S21" s="440">
        <v>3210722</v>
      </c>
      <c r="T21" s="437">
        <v>0</v>
      </c>
      <c r="U21" s="437">
        <v>0</v>
      </c>
      <c r="V21" s="441">
        <v>0</v>
      </c>
      <c r="W21" s="440">
        <v>3210722</v>
      </c>
      <c r="X21" s="438">
        <v>-8027</v>
      </c>
      <c r="Y21" s="440">
        <v>3202695</v>
      </c>
      <c r="Z21" s="437">
        <v>0</v>
      </c>
      <c r="AA21" s="442">
        <v>163496</v>
      </c>
      <c r="AB21" s="440">
        <v>3366191</v>
      </c>
      <c r="AC21" s="443">
        <v>0</v>
      </c>
      <c r="AD21" s="437">
        <v>3366191</v>
      </c>
      <c r="AE21" s="444">
        <v>280516</v>
      </c>
      <c r="AF21" s="442">
        <v>10000</v>
      </c>
      <c r="AG21" s="444">
        <v>3376191</v>
      </c>
      <c r="AH21" s="706"/>
      <c r="AI21" s="707">
        <v>3891533</v>
      </c>
      <c r="AJ21" s="436">
        <v>0</v>
      </c>
      <c r="AK21" s="706">
        <v>0</v>
      </c>
      <c r="AL21" s="436">
        <v>0</v>
      </c>
      <c r="AM21" s="708">
        <v>0</v>
      </c>
      <c r="AN21" s="709">
        <v>0</v>
      </c>
      <c r="AO21" s="707">
        <v>3891533</v>
      </c>
      <c r="AP21" s="445">
        <v>-9730</v>
      </c>
      <c r="AQ21" s="707">
        <v>3881803</v>
      </c>
      <c r="AR21" s="708">
        <v>0</v>
      </c>
      <c r="AS21" s="707">
        <v>3881803</v>
      </c>
      <c r="AT21" s="708">
        <v>0</v>
      </c>
      <c r="AU21" s="708">
        <v>3881803</v>
      </c>
      <c r="AV21" s="707">
        <v>323484</v>
      </c>
    </row>
    <row r="22" spans="1:48" ht="15.75" customHeight="1" x14ac:dyDescent="0.2">
      <c r="A22" s="674" t="s">
        <v>569</v>
      </c>
      <c r="B22" s="710">
        <v>15</v>
      </c>
      <c r="C22" s="548" t="s">
        <v>570</v>
      </c>
      <c r="D22" s="684">
        <v>526</v>
      </c>
      <c r="E22" s="550"/>
      <c r="F22" s="678">
        <v>1870815.537391078</v>
      </c>
      <c r="G22" s="679">
        <v>336</v>
      </c>
      <c r="H22" s="550"/>
      <c r="I22" s="678">
        <v>133107.73453225807</v>
      </c>
      <c r="J22" s="680">
        <v>175</v>
      </c>
      <c r="K22" s="550"/>
      <c r="L22" s="678">
        <v>20708.835801185669</v>
      </c>
      <c r="M22" s="679">
        <v>52</v>
      </c>
      <c r="N22" s="550"/>
      <c r="O22" s="678">
        <v>138125.09715845733</v>
      </c>
      <c r="P22" s="679">
        <v>1</v>
      </c>
      <c r="Q22" s="550"/>
      <c r="R22" s="678">
        <v>1130.0763875854041</v>
      </c>
      <c r="S22" s="552">
        <v>2163886</v>
      </c>
      <c r="T22" s="550">
        <v>0</v>
      </c>
      <c r="U22" s="550">
        <v>0</v>
      </c>
      <c r="V22" s="551">
        <v>0</v>
      </c>
      <c r="W22" s="552">
        <v>2163886</v>
      </c>
      <c r="X22" s="678">
        <v>-5409</v>
      </c>
      <c r="Y22" s="552">
        <v>2158477</v>
      </c>
      <c r="Z22" s="550">
        <v>0</v>
      </c>
      <c r="AA22" s="681">
        <v>50663</v>
      </c>
      <c r="AB22" s="552">
        <v>2209140</v>
      </c>
      <c r="AC22" s="550">
        <v>0</v>
      </c>
      <c r="AD22" s="550">
        <v>2209140</v>
      </c>
      <c r="AE22" s="552">
        <v>184096</v>
      </c>
      <c r="AF22" s="681">
        <v>0</v>
      </c>
      <c r="AG22" s="553">
        <v>2209140</v>
      </c>
      <c r="AH22" s="682"/>
      <c r="AI22" s="683">
        <v>4600329</v>
      </c>
      <c r="AJ22" s="684">
        <v>0</v>
      </c>
      <c r="AK22" s="682">
        <v>0</v>
      </c>
      <c r="AL22" s="684">
        <v>0</v>
      </c>
      <c r="AM22" s="685">
        <v>0</v>
      </c>
      <c r="AN22" s="686">
        <v>0</v>
      </c>
      <c r="AO22" s="683">
        <v>4600329</v>
      </c>
      <c r="AP22" s="687">
        <v>-11501</v>
      </c>
      <c r="AQ22" s="683">
        <v>4588828</v>
      </c>
      <c r="AR22" s="685">
        <v>0</v>
      </c>
      <c r="AS22" s="683">
        <v>4588828</v>
      </c>
      <c r="AT22" s="685">
        <v>0</v>
      </c>
      <c r="AU22" s="685">
        <v>4588828</v>
      </c>
      <c r="AV22" s="683">
        <v>382403</v>
      </c>
    </row>
    <row r="23" spans="1:48" ht="15.75" customHeight="1" x14ac:dyDescent="0.2">
      <c r="A23" s="688" t="s">
        <v>571</v>
      </c>
      <c r="B23" s="711">
        <v>12</v>
      </c>
      <c r="C23" s="425" t="s">
        <v>572</v>
      </c>
      <c r="D23" s="426">
        <v>454</v>
      </c>
      <c r="E23" s="427"/>
      <c r="F23" s="428">
        <v>2372367.202347653</v>
      </c>
      <c r="G23" s="429">
        <v>286</v>
      </c>
      <c r="H23" s="427"/>
      <c r="I23" s="428">
        <v>195065.68494054113</v>
      </c>
      <c r="J23" s="694">
        <v>351.5</v>
      </c>
      <c r="K23" s="427"/>
      <c r="L23" s="428">
        <v>66556.329160587105</v>
      </c>
      <c r="M23" s="429">
        <v>55</v>
      </c>
      <c r="N23" s="427"/>
      <c r="O23" s="428">
        <v>253589.35681145662</v>
      </c>
      <c r="P23" s="429">
        <v>8</v>
      </c>
      <c r="Q23" s="427"/>
      <c r="R23" s="428">
        <v>14568.368517584895</v>
      </c>
      <c r="S23" s="430">
        <v>2902147</v>
      </c>
      <c r="T23" s="427">
        <v>0</v>
      </c>
      <c r="U23" s="427">
        <v>0</v>
      </c>
      <c r="V23" s="431">
        <v>0</v>
      </c>
      <c r="W23" s="430">
        <v>2902147</v>
      </c>
      <c r="X23" s="428">
        <v>-7255</v>
      </c>
      <c r="Y23" s="430">
        <v>2894892</v>
      </c>
      <c r="Z23" s="427">
        <v>0</v>
      </c>
      <c r="AA23" s="432">
        <v>113513</v>
      </c>
      <c r="AB23" s="430">
        <v>3008405</v>
      </c>
      <c r="AC23" s="427">
        <v>0</v>
      </c>
      <c r="AD23" s="427">
        <v>3008405</v>
      </c>
      <c r="AE23" s="430">
        <v>250700</v>
      </c>
      <c r="AF23" s="432">
        <v>10000</v>
      </c>
      <c r="AG23" s="505">
        <v>3018405</v>
      </c>
      <c r="AH23" s="695"/>
      <c r="AI23" s="696">
        <v>1662897</v>
      </c>
      <c r="AJ23" s="426">
        <v>0</v>
      </c>
      <c r="AK23" s="695">
        <v>0</v>
      </c>
      <c r="AL23" s="426">
        <v>0</v>
      </c>
      <c r="AM23" s="697">
        <v>0</v>
      </c>
      <c r="AN23" s="698">
        <v>0</v>
      </c>
      <c r="AO23" s="696">
        <v>1662897</v>
      </c>
      <c r="AP23" s="433">
        <v>-4157</v>
      </c>
      <c r="AQ23" s="696">
        <v>1658740</v>
      </c>
      <c r="AR23" s="697">
        <v>0</v>
      </c>
      <c r="AS23" s="696">
        <v>1658740</v>
      </c>
      <c r="AT23" s="697">
        <v>0</v>
      </c>
      <c r="AU23" s="697">
        <v>1658740</v>
      </c>
      <c r="AV23" s="696">
        <v>138228</v>
      </c>
    </row>
    <row r="24" spans="1:48" ht="15.75" customHeight="1" x14ac:dyDescent="0.2">
      <c r="A24" s="688" t="s">
        <v>573</v>
      </c>
      <c r="B24" s="711">
        <v>16</v>
      </c>
      <c r="C24" s="425" t="s">
        <v>574</v>
      </c>
      <c r="D24" s="426">
        <v>504</v>
      </c>
      <c r="E24" s="427"/>
      <c r="F24" s="428">
        <v>1661032.383355102</v>
      </c>
      <c r="G24" s="429">
        <v>458</v>
      </c>
      <c r="H24" s="427"/>
      <c r="I24" s="428">
        <v>214536.34529893569</v>
      </c>
      <c r="J24" s="694">
        <v>885.5</v>
      </c>
      <c r="K24" s="427"/>
      <c r="L24" s="428">
        <v>113311.86974553025</v>
      </c>
      <c r="M24" s="429">
        <v>57</v>
      </c>
      <c r="N24" s="427"/>
      <c r="O24" s="428">
        <v>182045.03297994242</v>
      </c>
      <c r="P24" s="429">
        <v>0</v>
      </c>
      <c r="Q24" s="427"/>
      <c r="R24" s="428">
        <v>0</v>
      </c>
      <c r="S24" s="430">
        <v>2170926</v>
      </c>
      <c r="T24" s="427">
        <v>0</v>
      </c>
      <c r="U24" s="427">
        <v>0</v>
      </c>
      <c r="V24" s="431">
        <v>0</v>
      </c>
      <c r="W24" s="430">
        <v>2170926</v>
      </c>
      <c r="X24" s="428">
        <v>-5427</v>
      </c>
      <c r="Y24" s="430">
        <v>2165499</v>
      </c>
      <c r="Z24" s="427">
        <v>-5030</v>
      </c>
      <c r="AA24" s="432">
        <v>121322</v>
      </c>
      <c r="AB24" s="430">
        <v>2281791</v>
      </c>
      <c r="AC24" s="427">
        <v>0</v>
      </c>
      <c r="AD24" s="427">
        <v>2281791</v>
      </c>
      <c r="AE24" s="430">
        <v>190149</v>
      </c>
      <c r="AF24" s="432">
        <v>32174</v>
      </c>
      <c r="AG24" s="505">
        <v>2313965</v>
      </c>
      <c r="AH24" s="695"/>
      <c r="AI24" s="696">
        <v>3993330</v>
      </c>
      <c r="AJ24" s="426">
        <v>0</v>
      </c>
      <c r="AK24" s="695">
        <v>0</v>
      </c>
      <c r="AL24" s="426">
        <v>0</v>
      </c>
      <c r="AM24" s="697">
        <v>0</v>
      </c>
      <c r="AN24" s="698">
        <v>0</v>
      </c>
      <c r="AO24" s="696">
        <v>3993330</v>
      </c>
      <c r="AP24" s="433">
        <v>-9983</v>
      </c>
      <c r="AQ24" s="696">
        <v>3983347</v>
      </c>
      <c r="AR24" s="697">
        <v>-10883</v>
      </c>
      <c r="AS24" s="696">
        <v>3972464</v>
      </c>
      <c r="AT24" s="697">
        <v>0</v>
      </c>
      <c r="AU24" s="697">
        <v>3972464</v>
      </c>
      <c r="AV24" s="696">
        <v>331039</v>
      </c>
    </row>
    <row r="25" spans="1:48" ht="15.75" customHeight="1" x14ac:dyDescent="0.2">
      <c r="A25" s="688" t="s">
        <v>575</v>
      </c>
      <c r="B25" s="711">
        <v>17</v>
      </c>
      <c r="C25" s="425" t="s">
        <v>576</v>
      </c>
      <c r="D25" s="426">
        <v>180</v>
      </c>
      <c r="E25" s="427"/>
      <c r="F25" s="428">
        <v>933202.46614034264</v>
      </c>
      <c r="G25" s="429">
        <v>152</v>
      </c>
      <c r="H25" s="427"/>
      <c r="I25" s="428">
        <v>102546.55672320808</v>
      </c>
      <c r="J25" s="694">
        <v>114.5</v>
      </c>
      <c r="K25" s="427"/>
      <c r="L25" s="428">
        <v>21028.036464708817</v>
      </c>
      <c r="M25" s="429">
        <v>20</v>
      </c>
      <c r="N25" s="427"/>
      <c r="O25" s="428">
        <v>92481.282119025636</v>
      </c>
      <c r="P25" s="429">
        <v>0</v>
      </c>
      <c r="Q25" s="427"/>
      <c r="R25" s="428">
        <v>0</v>
      </c>
      <c r="S25" s="430">
        <v>1149258</v>
      </c>
      <c r="T25" s="427">
        <v>0</v>
      </c>
      <c r="U25" s="427">
        <v>0</v>
      </c>
      <c r="V25" s="431">
        <v>0</v>
      </c>
      <c r="W25" s="430">
        <v>1149258</v>
      </c>
      <c r="X25" s="428">
        <v>-2873</v>
      </c>
      <c r="Y25" s="430">
        <v>1146385</v>
      </c>
      <c r="Z25" s="427">
        <v>0</v>
      </c>
      <c r="AA25" s="432">
        <v>24897</v>
      </c>
      <c r="AB25" s="430">
        <v>1171282</v>
      </c>
      <c r="AC25" s="427">
        <v>0</v>
      </c>
      <c r="AD25" s="427">
        <v>1171282</v>
      </c>
      <c r="AE25" s="430">
        <v>97607</v>
      </c>
      <c r="AF25" s="432">
        <v>10000</v>
      </c>
      <c r="AG25" s="505">
        <v>1181282</v>
      </c>
      <c r="AH25" s="695"/>
      <c r="AI25" s="696">
        <v>801879</v>
      </c>
      <c r="AJ25" s="426">
        <v>0</v>
      </c>
      <c r="AK25" s="695">
        <v>0</v>
      </c>
      <c r="AL25" s="426">
        <v>0</v>
      </c>
      <c r="AM25" s="697">
        <v>0</v>
      </c>
      <c r="AN25" s="698">
        <v>0</v>
      </c>
      <c r="AO25" s="696">
        <v>801879</v>
      </c>
      <c r="AP25" s="433">
        <v>-2005</v>
      </c>
      <c r="AQ25" s="696">
        <v>799874</v>
      </c>
      <c r="AR25" s="697">
        <v>0</v>
      </c>
      <c r="AS25" s="696">
        <v>799874</v>
      </c>
      <c r="AT25" s="697">
        <v>0</v>
      </c>
      <c r="AU25" s="697">
        <v>799874</v>
      </c>
      <c r="AV25" s="696">
        <v>66656</v>
      </c>
    </row>
    <row r="26" spans="1:48" ht="15.75" customHeight="1" x14ac:dyDescent="0.2">
      <c r="A26" s="699" t="s">
        <v>577</v>
      </c>
      <c r="B26" s="712">
        <v>18</v>
      </c>
      <c r="C26" s="435" t="s">
        <v>578</v>
      </c>
      <c r="D26" s="436">
        <v>1400</v>
      </c>
      <c r="E26" s="437"/>
      <c r="F26" s="438">
        <v>5497314.7412814917</v>
      </c>
      <c r="G26" s="439">
        <v>686</v>
      </c>
      <c r="H26" s="437"/>
      <c r="I26" s="438">
        <v>371569.5005142343</v>
      </c>
      <c r="J26" s="705">
        <v>424</v>
      </c>
      <c r="K26" s="437"/>
      <c r="L26" s="438">
        <v>61921.956858140788</v>
      </c>
      <c r="M26" s="439">
        <v>87</v>
      </c>
      <c r="N26" s="437"/>
      <c r="O26" s="438">
        <v>319681.05219640699</v>
      </c>
      <c r="P26" s="439">
        <v>53</v>
      </c>
      <c r="Q26" s="437"/>
      <c r="R26" s="438">
        <v>76186.517853323676</v>
      </c>
      <c r="S26" s="440">
        <v>6326675</v>
      </c>
      <c r="T26" s="437">
        <v>0</v>
      </c>
      <c r="U26" s="437">
        <v>0</v>
      </c>
      <c r="V26" s="441">
        <v>0</v>
      </c>
      <c r="W26" s="440">
        <v>6326675</v>
      </c>
      <c r="X26" s="438">
        <v>-15816</v>
      </c>
      <c r="Y26" s="440">
        <v>6310859</v>
      </c>
      <c r="Z26" s="437">
        <v>0</v>
      </c>
      <c r="AA26" s="442">
        <v>247942</v>
      </c>
      <c r="AB26" s="440">
        <v>6558801</v>
      </c>
      <c r="AC26" s="443">
        <v>0</v>
      </c>
      <c r="AD26" s="437">
        <v>6558801</v>
      </c>
      <c r="AE26" s="444">
        <v>546567</v>
      </c>
      <c r="AF26" s="442">
        <v>10000</v>
      </c>
      <c r="AG26" s="444">
        <v>6568801</v>
      </c>
      <c r="AH26" s="706"/>
      <c r="AI26" s="707">
        <v>7743462</v>
      </c>
      <c r="AJ26" s="436">
        <v>0</v>
      </c>
      <c r="AK26" s="706">
        <v>0</v>
      </c>
      <c r="AL26" s="436">
        <v>0</v>
      </c>
      <c r="AM26" s="708">
        <v>0</v>
      </c>
      <c r="AN26" s="709">
        <v>0</v>
      </c>
      <c r="AO26" s="707">
        <v>7743462</v>
      </c>
      <c r="AP26" s="445">
        <v>-19360</v>
      </c>
      <c r="AQ26" s="707">
        <v>7724102</v>
      </c>
      <c r="AR26" s="708">
        <v>0</v>
      </c>
      <c r="AS26" s="707">
        <v>7724102</v>
      </c>
      <c r="AT26" s="708">
        <v>0</v>
      </c>
      <c r="AU26" s="708">
        <v>7724102</v>
      </c>
      <c r="AV26" s="707">
        <v>643674</v>
      </c>
    </row>
    <row r="27" spans="1:48" ht="15.75" customHeight="1" x14ac:dyDescent="0.2">
      <c r="A27" s="674" t="s">
        <v>579</v>
      </c>
      <c r="B27" s="710">
        <v>9</v>
      </c>
      <c r="C27" s="548" t="s">
        <v>580</v>
      </c>
      <c r="D27" s="684">
        <v>429</v>
      </c>
      <c r="E27" s="550"/>
      <c r="F27" s="678">
        <v>1632576.4294918634</v>
      </c>
      <c r="G27" s="679">
        <v>292</v>
      </c>
      <c r="H27" s="550"/>
      <c r="I27" s="678">
        <v>139300.32968180874</v>
      </c>
      <c r="J27" s="680">
        <v>0</v>
      </c>
      <c r="K27" s="550"/>
      <c r="L27" s="678">
        <v>0</v>
      </c>
      <c r="M27" s="679">
        <v>249</v>
      </c>
      <c r="N27" s="550"/>
      <c r="O27" s="678">
        <v>822340.23879878945</v>
      </c>
      <c r="P27" s="679">
        <v>0</v>
      </c>
      <c r="Q27" s="550"/>
      <c r="R27" s="678">
        <v>0</v>
      </c>
      <c r="S27" s="552">
        <v>2594218</v>
      </c>
      <c r="T27" s="550">
        <v>0</v>
      </c>
      <c r="U27" s="550">
        <v>0</v>
      </c>
      <c r="V27" s="551">
        <v>0</v>
      </c>
      <c r="W27" s="552">
        <v>2594218</v>
      </c>
      <c r="X27" s="678">
        <v>-6487</v>
      </c>
      <c r="Y27" s="552">
        <v>2587731</v>
      </c>
      <c r="Z27" s="550">
        <v>0</v>
      </c>
      <c r="AA27" s="681">
        <v>137732</v>
      </c>
      <c r="AB27" s="552">
        <v>2725463</v>
      </c>
      <c r="AC27" s="550">
        <v>0</v>
      </c>
      <c r="AD27" s="550">
        <v>2725463</v>
      </c>
      <c r="AE27" s="552">
        <v>227123</v>
      </c>
      <c r="AF27" s="681">
        <v>0</v>
      </c>
      <c r="AG27" s="553">
        <v>2725463</v>
      </c>
      <c r="AH27" s="682"/>
      <c r="AI27" s="683">
        <v>3218961</v>
      </c>
      <c r="AJ27" s="684">
        <v>0</v>
      </c>
      <c r="AK27" s="682">
        <v>0</v>
      </c>
      <c r="AL27" s="684">
        <v>0</v>
      </c>
      <c r="AM27" s="685">
        <v>0</v>
      </c>
      <c r="AN27" s="686">
        <v>0</v>
      </c>
      <c r="AO27" s="683">
        <v>3218961</v>
      </c>
      <c r="AP27" s="687">
        <v>-8046</v>
      </c>
      <c r="AQ27" s="683">
        <v>3210915</v>
      </c>
      <c r="AR27" s="685">
        <v>0</v>
      </c>
      <c r="AS27" s="683">
        <v>3210915</v>
      </c>
      <c r="AT27" s="685">
        <v>0</v>
      </c>
      <c r="AU27" s="685">
        <v>3210915</v>
      </c>
      <c r="AV27" s="683">
        <v>267579</v>
      </c>
    </row>
    <row r="28" spans="1:48" ht="15.75" customHeight="1" x14ac:dyDescent="0.2">
      <c r="A28" s="688" t="s">
        <v>581</v>
      </c>
      <c r="B28" s="711">
        <v>19</v>
      </c>
      <c r="C28" s="425" t="s">
        <v>582</v>
      </c>
      <c r="D28" s="426">
        <v>1000</v>
      </c>
      <c r="E28" s="427"/>
      <c r="F28" s="428">
        <v>3909795.1056257891</v>
      </c>
      <c r="G28" s="429">
        <v>821</v>
      </c>
      <c r="H28" s="427"/>
      <c r="I28" s="428">
        <v>438619.91079120745</v>
      </c>
      <c r="J28" s="694">
        <v>43</v>
      </c>
      <c r="K28" s="427"/>
      <c r="L28" s="428">
        <v>6443.704436214879</v>
      </c>
      <c r="M28" s="429">
        <v>74</v>
      </c>
      <c r="N28" s="427"/>
      <c r="O28" s="428">
        <v>272467.7456608137</v>
      </c>
      <c r="P28" s="429">
        <v>29</v>
      </c>
      <c r="Q28" s="427"/>
      <c r="R28" s="428">
        <v>43427.858637782207</v>
      </c>
      <c r="S28" s="430">
        <v>4670753</v>
      </c>
      <c r="T28" s="427">
        <v>0</v>
      </c>
      <c r="U28" s="427">
        <v>0</v>
      </c>
      <c r="V28" s="431">
        <v>0</v>
      </c>
      <c r="W28" s="430">
        <v>4670753</v>
      </c>
      <c r="X28" s="428">
        <v>-11677</v>
      </c>
      <c r="Y28" s="430">
        <v>4659076</v>
      </c>
      <c r="Z28" s="427">
        <v>3548</v>
      </c>
      <c r="AA28" s="432">
        <v>184672</v>
      </c>
      <c r="AB28" s="430">
        <v>4847296</v>
      </c>
      <c r="AC28" s="427">
        <v>0</v>
      </c>
      <c r="AD28" s="427">
        <v>4847296</v>
      </c>
      <c r="AE28" s="430">
        <v>403942</v>
      </c>
      <c r="AF28" s="432">
        <v>0</v>
      </c>
      <c r="AG28" s="505">
        <v>4847296</v>
      </c>
      <c r="AH28" s="695"/>
      <c r="AI28" s="696">
        <v>5451417</v>
      </c>
      <c r="AJ28" s="426">
        <v>0</v>
      </c>
      <c r="AK28" s="695">
        <v>0</v>
      </c>
      <c r="AL28" s="426">
        <v>0</v>
      </c>
      <c r="AM28" s="697">
        <v>0</v>
      </c>
      <c r="AN28" s="698">
        <v>0</v>
      </c>
      <c r="AO28" s="696">
        <v>5451417</v>
      </c>
      <c r="AP28" s="433">
        <v>-13628</v>
      </c>
      <c r="AQ28" s="696">
        <v>5437789</v>
      </c>
      <c r="AR28" s="697">
        <v>5787</v>
      </c>
      <c r="AS28" s="696">
        <v>5443576</v>
      </c>
      <c r="AT28" s="697">
        <v>0</v>
      </c>
      <c r="AU28" s="697">
        <v>5443576</v>
      </c>
      <c r="AV28" s="696">
        <v>453631</v>
      </c>
    </row>
    <row r="29" spans="1:48" ht="15.75" customHeight="1" x14ac:dyDescent="0.2">
      <c r="A29" s="688" t="s">
        <v>583</v>
      </c>
      <c r="B29" s="711">
        <v>13</v>
      </c>
      <c r="C29" s="425" t="s">
        <v>584</v>
      </c>
      <c r="D29" s="426">
        <v>380</v>
      </c>
      <c r="E29" s="427"/>
      <c r="F29" s="428">
        <v>1650589.1626288062</v>
      </c>
      <c r="G29" s="429">
        <v>333</v>
      </c>
      <c r="H29" s="427"/>
      <c r="I29" s="428">
        <v>183457.91661268187</v>
      </c>
      <c r="J29" s="694">
        <v>41</v>
      </c>
      <c r="K29" s="427"/>
      <c r="L29" s="428">
        <v>6591.4724541100295</v>
      </c>
      <c r="M29" s="429">
        <v>30</v>
      </c>
      <c r="N29" s="427"/>
      <c r="O29" s="428">
        <v>114234.15215373735</v>
      </c>
      <c r="P29" s="429">
        <v>0</v>
      </c>
      <c r="Q29" s="427"/>
      <c r="R29" s="428">
        <v>0</v>
      </c>
      <c r="S29" s="430">
        <v>1954873</v>
      </c>
      <c r="T29" s="427">
        <v>0</v>
      </c>
      <c r="U29" s="427">
        <v>0</v>
      </c>
      <c r="V29" s="431">
        <v>0</v>
      </c>
      <c r="W29" s="430">
        <v>1954873</v>
      </c>
      <c r="X29" s="428">
        <v>-4888</v>
      </c>
      <c r="Y29" s="430">
        <v>1949985</v>
      </c>
      <c r="Z29" s="427">
        <v>-3872</v>
      </c>
      <c r="AA29" s="432">
        <v>107414</v>
      </c>
      <c r="AB29" s="430">
        <v>2053527</v>
      </c>
      <c r="AC29" s="427">
        <v>0</v>
      </c>
      <c r="AD29" s="427">
        <v>2053527</v>
      </c>
      <c r="AE29" s="430">
        <v>171127</v>
      </c>
      <c r="AF29" s="432">
        <v>0</v>
      </c>
      <c r="AG29" s="505">
        <v>2053527</v>
      </c>
      <c r="AH29" s="695"/>
      <c r="AI29" s="696">
        <v>2374153</v>
      </c>
      <c r="AJ29" s="426">
        <v>0</v>
      </c>
      <c r="AK29" s="695">
        <v>0</v>
      </c>
      <c r="AL29" s="426">
        <v>0</v>
      </c>
      <c r="AM29" s="697">
        <v>0</v>
      </c>
      <c r="AN29" s="698">
        <v>0</v>
      </c>
      <c r="AO29" s="696">
        <v>2374153</v>
      </c>
      <c r="AP29" s="433">
        <v>-5936</v>
      </c>
      <c r="AQ29" s="696">
        <v>2368217</v>
      </c>
      <c r="AR29" s="697">
        <v>-7559</v>
      </c>
      <c r="AS29" s="696">
        <v>2360658</v>
      </c>
      <c r="AT29" s="697">
        <v>0</v>
      </c>
      <c r="AU29" s="697">
        <v>2360658</v>
      </c>
      <c r="AV29" s="696">
        <v>196722</v>
      </c>
    </row>
    <row r="30" spans="1:48" ht="15.75" customHeight="1" x14ac:dyDescent="0.2">
      <c r="A30" s="688" t="s">
        <v>585</v>
      </c>
      <c r="B30" s="711">
        <v>32</v>
      </c>
      <c r="C30" s="425" t="s">
        <v>893</v>
      </c>
      <c r="D30" s="426">
        <v>1918</v>
      </c>
      <c r="E30" s="427"/>
      <c r="F30" s="428">
        <v>7589659.7759309895</v>
      </c>
      <c r="G30" s="429">
        <v>1693</v>
      </c>
      <c r="H30" s="427"/>
      <c r="I30" s="428">
        <v>899540.17040698125</v>
      </c>
      <c r="J30" s="694">
        <v>1509.5</v>
      </c>
      <c r="K30" s="427"/>
      <c r="L30" s="428">
        <v>218220.94201838181</v>
      </c>
      <c r="M30" s="429">
        <v>270</v>
      </c>
      <c r="N30" s="427"/>
      <c r="O30" s="428">
        <v>977138.97158015787</v>
      </c>
      <c r="P30" s="429">
        <v>44</v>
      </c>
      <c r="Q30" s="427"/>
      <c r="R30" s="428">
        <v>65294.82421904536</v>
      </c>
      <c r="S30" s="430">
        <v>9749854</v>
      </c>
      <c r="T30" s="427">
        <v>0</v>
      </c>
      <c r="U30" s="427">
        <v>0</v>
      </c>
      <c r="V30" s="431">
        <v>0</v>
      </c>
      <c r="W30" s="430">
        <v>9749854</v>
      </c>
      <c r="X30" s="428">
        <v>-24377</v>
      </c>
      <c r="Y30" s="430">
        <v>9725477</v>
      </c>
      <c r="Z30" s="427">
        <v>-29678</v>
      </c>
      <c r="AA30" s="432">
        <v>251392</v>
      </c>
      <c r="AB30" s="430">
        <v>9947191</v>
      </c>
      <c r="AC30" s="427">
        <v>0</v>
      </c>
      <c r="AD30" s="427">
        <v>9947191</v>
      </c>
      <c r="AE30" s="430">
        <v>828938</v>
      </c>
      <c r="AF30" s="432">
        <v>46814</v>
      </c>
      <c r="AG30" s="505">
        <v>9994005</v>
      </c>
      <c r="AH30" s="695"/>
      <c r="AI30" s="696">
        <v>9524233</v>
      </c>
      <c r="AJ30" s="426">
        <v>0</v>
      </c>
      <c r="AK30" s="695">
        <v>0</v>
      </c>
      <c r="AL30" s="426">
        <v>0</v>
      </c>
      <c r="AM30" s="697">
        <v>0</v>
      </c>
      <c r="AN30" s="698">
        <v>0</v>
      </c>
      <c r="AO30" s="696">
        <v>9524233</v>
      </c>
      <c r="AP30" s="433">
        <v>-23810</v>
      </c>
      <c r="AQ30" s="696">
        <v>9500423</v>
      </c>
      <c r="AR30" s="697">
        <v>-21778</v>
      </c>
      <c r="AS30" s="696">
        <v>9478645</v>
      </c>
      <c r="AT30" s="697">
        <v>0</v>
      </c>
      <c r="AU30" s="697">
        <v>9478645</v>
      </c>
      <c r="AV30" s="696">
        <v>789894</v>
      </c>
    </row>
    <row r="31" spans="1:48" ht="15.75" customHeight="1" x14ac:dyDescent="0.2">
      <c r="A31" s="699" t="s">
        <v>587</v>
      </c>
      <c r="B31" s="712">
        <v>8</v>
      </c>
      <c r="C31" s="435" t="s">
        <v>588</v>
      </c>
      <c r="D31" s="436">
        <v>570</v>
      </c>
      <c r="E31" s="437"/>
      <c r="F31" s="438">
        <v>1875916.882454009</v>
      </c>
      <c r="G31" s="439">
        <v>542</v>
      </c>
      <c r="H31" s="437"/>
      <c r="I31" s="438">
        <v>253883.62260267063</v>
      </c>
      <c r="J31" s="705">
        <v>103</v>
      </c>
      <c r="K31" s="437"/>
      <c r="L31" s="438">
        <v>13158.342734690576</v>
      </c>
      <c r="M31" s="439">
        <v>67</v>
      </c>
      <c r="N31" s="437"/>
      <c r="O31" s="438">
        <v>213982.75806414284</v>
      </c>
      <c r="P31" s="439">
        <v>0</v>
      </c>
      <c r="Q31" s="437"/>
      <c r="R31" s="438">
        <v>0</v>
      </c>
      <c r="S31" s="440">
        <v>2356941</v>
      </c>
      <c r="T31" s="437">
        <v>0</v>
      </c>
      <c r="U31" s="437">
        <v>0</v>
      </c>
      <c r="V31" s="441">
        <v>0</v>
      </c>
      <c r="W31" s="440">
        <v>2356941</v>
      </c>
      <c r="X31" s="438">
        <v>-5892</v>
      </c>
      <c r="Y31" s="440">
        <v>2351049</v>
      </c>
      <c r="Z31" s="437">
        <v>0</v>
      </c>
      <c r="AA31" s="442">
        <v>141860</v>
      </c>
      <c r="AB31" s="440">
        <v>2492909</v>
      </c>
      <c r="AC31" s="443">
        <v>0</v>
      </c>
      <c r="AD31" s="437">
        <v>2492909</v>
      </c>
      <c r="AE31" s="444">
        <v>207741</v>
      </c>
      <c r="AF31" s="442">
        <v>0</v>
      </c>
      <c r="AG31" s="444">
        <v>2492909</v>
      </c>
      <c r="AH31" s="706"/>
      <c r="AI31" s="707">
        <v>4521187</v>
      </c>
      <c r="AJ31" s="436">
        <v>0</v>
      </c>
      <c r="AK31" s="706">
        <v>0</v>
      </c>
      <c r="AL31" s="436">
        <v>0</v>
      </c>
      <c r="AM31" s="708">
        <v>0</v>
      </c>
      <c r="AN31" s="709">
        <v>0</v>
      </c>
      <c r="AO31" s="707">
        <v>4521187</v>
      </c>
      <c r="AP31" s="445">
        <v>-11303</v>
      </c>
      <c r="AQ31" s="707">
        <v>4509884</v>
      </c>
      <c r="AR31" s="708">
        <v>0</v>
      </c>
      <c r="AS31" s="707">
        <v>4509884</v>
      </c>
      <c r="AT31" s="708">
        <v>0</v>
      </c>
      <c r="AU31" s="708">
        <v>4509884</v>
      </c>
      <c r="AV31" s="707">
        <v>375824</v>
      </c>
    </row>
    <row r="32" spans="1:48" ht="15.75" customHeight="1" x14ac:dyDescent="0.2">
      <c r="A32" s="674" t="s">
        <v>589</v>
      </c>
      <c r="B32" s="710">
        <v>7</v>
      </c>
      <c r="C32" s="548" t="s">
        <v>590</v>
      </c>
      <c r="D32" s="684">
        <v>248</v>
      </c>
      <c r="E32" s="550"/>
      <c r="F32" s="678">
        <v>1148822.3878272756</v>
      </c>
      <c r="G32" s="679">
        <v>247</v>
      </c>
      <c r="H32" s="550"/>
      <c r="I32" s="678">
        <v>163321.64494573255</v>
      </c>
      <c r="J32" s="680">
        <v>213</v>
      </c>
      <c r="K32" s="550"/>
      <c r="L32" s="678">
        <v>38373.556350137005</v>
      </c>
      <c r="M32" s="679">
        <v>7</v>
      </c>
      <c r="N32" s="550"/>
      <c r="O32" s="678">
        <v>31558.286196727859</v>
      </c>
      <c r="P32" s="679">
        <v>0</v>
      </c>
      <c r="Q32" s="550"/>
      <c r="R32" s="678">
        <v>0</v>
      </c>
      <c r="S32" s="552">
        <v>1382076</v>
      </c>
      <c r="T32" s="550">
        <v>0</v>
      </c>
      <c r="U32" s="550">
        <v>0</v>
      </c>
      <c r="V32" s="551">
        <v>0</v>
      </c>
      <c r="W32" s="552">
        <v>1382076</v>
      </c>
      <c r="X32" s="678">
        <v>-3454</v>
      </c>
      <c r="Y32" s="552">
        <v>1378622</v>
      </c>
      <c r="Z32" s="550">
        <v>4545</v>
      </c>
      <c r="AA32" s="681">
        <v>82894</v>
      </c>
      <c r="AB32" s="552">
        <v>1466061</v>
      </c>
      <c r="AC32" s="550">
        <v>0</v>
      </c>
      <c r="AD32" s="550">
        <v>1466061</v>
      </c>
      <c r="AE32" s="552">
        <v>122172</v>
      </c>
      <c r="AF32" s="681">
        <v>16448</v>
      </c>
      <c r="AG32" s="553">
        <v>1482509</v>
      </c>
      <c r="AH32" s="682"/>
      <c r="AI32" s="683">
        <v>813440</v>
      </c>
      <c r="AJ32" s="684">
        <v>0</v>
      </c>
      <c r="AK32" s="682">
        <v>0</v>
      </c>
      <c r="AL32" s="684">
        <v>0</v>
      </c>
      <c r="AM32" s="685">
        <v>0</v>
      </c>
      <c r="AN32" s="686">
        <v>0</v>
      </c>
      <c r="AO32" s="683">
        <v>813440</v>
      </c>
      <c r="AP32" s="687">
        <v>-2034</v>
      </c>
      <c r="AQ32" s="683">
        <v>811406</v>
      </c>
      <c r="AR32" s="685">
        <v>0</v>
      </c>
      <c r="AS32" s="683">
        <v>811406</v>
      </c>
      <c r="AT32" s="685">
        <v>0</v>
      </c>
      <c r="AU32" s="685">
        <v>811406</v>
      </c>
      <c r="AV32" s="683">
        <v>67617</v>
      </c>
    </row>
    <row r="33" spans="1:48" ht="15.75" customHeight="1" x14ac:dyDescent="0.2">
      <c r="A33" s="688" t="s">
        <v>591</v>
      </c>
      <c r="B33" s="711">
        <v>21</v>
      </c>
      <c r="C33" s="425" t="s">
        <v>592</v>
      </c>
      <c r="D33" s="426">
        <v>710</v>
      </c>
      <c r="E33" s="427"/>
      <c r="F33" s="428">
        <v>2571914.7308459738</v>
      </c>
      <c r="G33" s="429">
        <v>642</v>
      </c>
      <c r="H33" s="427"/>
      <c r="I33" s="428">
        <v>295705.59881630779</v>
      </c>
      <c r="J33" s="694">
        <v>211</v>
      </c>
      <c r="K33" s="427"/>
      <c r="L33" s="428">
        <v>26652.698570684315</v>
      </c>
      <c r="M33" s="429">
        <v>88</v>
      </c>
      <c r="N33" s="427"/>
      <c r="O33" s="428">
        <v>274971.62616454123</v>
      </c>
      <c r="P33" s="429">
        <v>2</v>
      </c>
      <c r="Q33" s="427"/>
      <c r="R33" s="428">
        <v>3133.9959254700607</v>
      </c>
      <c r="S33" s="430">
        <v>3172377</v>
      </c>
      <c r="T33" s="427">
        <v>0</v>
      </c>
      <c r="U33" s="427">
        <v>0</v>
      </c>
      <c r="V33" s="431">
        <v>0</v>
      </c>
      <c r="W33" s="430">
        <v>3172377</v>
      </c>
      <c r="X33" s="428">
        <v>-7930</v>
      </c>
      <c r="Y33" s="430">
        <v>3164447</v>
      </c>
      <c r="Z33" s="427">
        <v>0</v>
      </c>
      <c r="AA33" s="432">
        <v>191565</v>
      </c>
      <c r="AB33" s="430">
        <v>3356012</v>
      </c>
      <c r="AC33" s="427">
        <v>0</v>
      </c>
      <c r="AD33" s="427">
        <v>3356012</v>
      </c>
      <c r="AE33" s="430">
        <v>279667</v>
      </c>
      <c r="AF33" s="432">
        <v>0</v>
      </c>
      <c r="AG33" s="505">
        <v>3356012</v>
      </c>
      <c r="AH33" s="695"/>
      <c r="AI33" s="696">
        <v>5523787</v>
      </c>
      <c r="AJ33" s="426">
        <v>0</v>
      </c>
      <c r="AK33" s="695">
        <v>0</v>
      </c>
      <c r="AL33" s="426">
        <v>0</v>
      </c>
      <c r="AM33" s="697">
        <v>0</v>
      </c>
      <c r="AN33" s="698">
        <v>0</v>
      </c>
      <c r="AO33" s="696">
        <v>5523787</v>
      </c>
      <c r="AP33" s="433">
        <v>-13810</v>
      </c>
      <c r="AQ33" s="696">
        <v>5509977</v>
      </c>
      <c r="AR33" s="697">
        <v>0</v>
      </c>
      <c r="AS33" s="696">
        <v>5509977</v>
      </c>
      <c r="AT33" s="697">
        <v>0</v>
      </c>
      <c r="AU33" s="697">
        <v>5509977</v>
      </c>
      <c r="AV33" s="696">
        <v>459165</v>
      </c>
    </row>
    <row r="34" spans="1:48" ht="15.75" customHeight="1" x14ac:dyDescent="0.2">
      <c r="A34" s="688" t="s">
        <v>593</v>
      </c>
      <c r="B34" s="711">
        <v>26</v>
      </c>
      <c r="C34" s="425" t="s">
        <v>594</v>
      </c>
      <c r="D34" s="426">
        <v>170</v>
      </c>
      <c r="E34" s="427"/>
      <c r="F34" s="428">
        <v>599536.171272957</v>
      </c>
      <c r="G34" s="429">
        <v>138</v>
      </c>
      <c r="H34" s="427"/>
      <c r="I34" s="428">
        <v>65632.577633780078</v>
      </c>
      <c r="J34" s="694">
        <v>10</v>
      </c>
      <c r="K34" s="427"/>
      <c r="L34" s="428">
        <v>1299.3988874876372</v>
      </c>
      <c r="M34" s="429">
        <v>33</v>
      </c>
      <c r="N34" s="427"/>
      <c r="O34" s="428">
        <v>107483.93929407839</v>
      </c>
      <c r="P34" s="429">
        <v>0</v>
      </c>
      <c r="Q34" s="427"/>
      <c r="R34" s="428">
        <v>0</v>
      </c>
      <c r="S34" s="430">
        <v>773952</v>
      </c>
      <c r="T34" s="427">
        <v>0</v>
      </c>
      <c r="U34" s="427">
        <v>0</v>
      </c>
      <c r="V34" s="431">
        <v>0</v>
      </c>
      <c r="W34" s="430">
        <v>773952</v>
      </c>
      <c r="X34" s="428">
        <v>-1934</v>
      </c>
      <c r="Y34" s="430">
        <v>772018</v>
      </c>
      <c r="Z34" s="427">
        <v>0</v>
      </c>
      <c r="AA34" s="432">
        <v>68846</v>
      </c>
      <c r="AB34" s="430">
        <v>840864</v>
      </c>
      <c r="AC34" s="427">
        <v>0</v>
      </c>
      <c r="AD34" s="427">
        <v>840864</v>
      </c>
      <c r="AE34" s="430">
        <v>70073</v>
      </c>
      <c r="AF34" s="432">
        <v>10000</v>
      </c>
      <c r="AG34" s="505">
        <v>850864</v>
      </c>
      <c r="AH34" s="695"/>
      <c r="AI34" s="696">
        <v>1041371</v>
      </c>
      <c r="AJ34" s="426">
        <v>0</v>
      </c>
      <c r="AK34" s="695">
        <v>0</v>
      </c>
      <c r="AL34" s="426">
        <v>0</v>
      </c>
      <c r="AM34" s="697">
        <v>0</v>
      </c>
      <c r="AN34" s="698">
        <v>0</v>
      </c>
      <c r="AO34" s="696">
        <v>1041371</v>
      </c>
      <c r="AP34" s="433">
        <v>-2604</v>
      </c>
      <c r="AQ34" s="696">
        <v>1038767</v>
      </c>
      <c r="AR34" s="697">
        <v>0</v>
      </c>
      <c r="AS34" s="696">
        <v>1038767</v>
      </c>
      <c r="AT34" s="697">
        <v>0</v>
      </c>
      <c r="AU34" s="697">
        <v>1038767</v>
      </c>
      <c r="AV34" s="696">
        <v>86564</v>
      </c>
    </row>
    <row r="35" spans="1:48" ht="15.75" customHeight="1" x14ac:dyDescent="0.2">
      <c r="A35" s="688" t="s">
        <v>595</v>
      </c>
      <c r="B35" s="711">
        <v>27</v>
      </c>
      <c r="C35" s="425" t="s">
        <v>894</v>
      </c>
      <c r="D35" s="426">
        <v>1237</v>
      </c>
      <c r="E35" s="427"/>
      <c r="F35" s="428">
        <v>4795166.1765533322</v>
      </c>
      <c r="G35" s="429">
        <v>1045</v>
      </c>
      <c r="H35" s="427"/>
      <c r="I35" s="428">
        <v>509535.03041023575</v>
      </c>
      <c r="J35" s="694">
        <v>0</v>
      </c>
      <c r="K35" s="427"/>
      <c r="L35" s="428">
        <v>0</v>
      </c>
      <c r="M35" s="429">
        <v>103</v>
      </c>
      <c r="N35" s="427"/>
      <c r="O35" s="428">
        <v>343862.15455646842</v>
      </c>
      <c r="P35" s="429">
        <v>26</v>
      </c>
      <c r="Q35" s="427"/>
      <c r="R35" s="428">
        <v>34616.062231966964</v>
      </c>
      <c r="S35" s="430">
        <v>5683179</v>
      </c>
      <c r="T35" s="427">
        <v>0</v>
      </c>
      <c r="U35" s="427">
        <v>0</v>
      </c>
      <c r="V35" s="431">
        <v>0</v>
      </c>
      <c r="W35" s="430">
        <v>5683179</v>
      </c>
      <c r="X35" s="428">
        <v>-14208</v>
      </c>
      <c r="Y35" s="430">
        <v>5668971</v>
      </c>
      <c r="Z35" s="427">
        <v>1647</v>
      </c>
      <c r="AA35" s="432">
        <v>232465</v>
      </c>
      <c r="AB35" s="430">
        <v>5903083</v>
      </c>
      <c r="AC35" s="427">
        <v>0</v>
      </c>
      <c r="AD35" s="427">
        <v>5903083</v>
      </c>
      <c r="AE35" s="430">
        <v>491924</v>
      </c>
      <c r="AF35" s="432">
        <v>0</v>
      </c>
      <c r="AG35" s="505">
        <v>5903083</v>
      </c>
      <c r="AH35" s="695"/>
      <c r="AI35" s="696">
        <v>7908564</v>
      </c>
      <c r="AJ35" s="426">
        <v>0</v>
      </c>
      <c r="AK35" s="695">
        <v>0</v>
      </c>
      <c r="AL35" s="426">
        <v>0</v>
      </c>
      <c r="AM35" s="697">
        <v>0</v>
      </c>
      <c r="AN35" s="698">
        <v>0</v>
      </c>
      <c r="AO35" s="696">
        <v>7908564</v>
      </c>
      <c r="AP35" s="433">
        <v>-19771</v>
      </c>
      <c r="AQ35" s="696">
        <v>7888793</v>
      </c>
      <c r="AR35" s="697">
        <v>0</v>
      </c>
      <c r="AS35" s="696">
        <v>7888793</v>
      </c>
      <c r="AT35" s="697">
        <v>0</v>
      </c>
      <c r="AU35" s="697">
        <v>7888793</v>
      </c>
      <c r="AV35" s="696">
        <v>657400</v>
      </c>
    </row>
    <row r="36" spans="1:48" ht="15.75" customHeight="1" x14ac:dyDescent="0.2">
      <c r="A36" s="699" t="s">
        <v>597</v>
      </c>
      <c r="B36" s="712">
        <v>28</v>
      </c>
      <c r="C36" s="435" t="s">
        <v>598</v>
      </c>
      <c r="D36" s="436">
        <v>195</v>
      </c>
      <c r="E36" s="437"/>
      <c r="F36" s="438">
        <v>699504.30809814739</v>
      </c>
      <c r="G36" s="439">
        <v>169</v>
      </c>
      <c r="H36" s="437"/>
      <c r="I36" s="438">
        <v>76951.617726136246</v>
      </c>
      <c r="J36" s="705">
        <v>220</v>
      </c>
      <c r="K36" s="437"/>
      <c r="L36" s="438">
        <v>28723.495680909087</v>
      </c>
      <c r="M36" s="439">
        <v>15</v>
      </c>
      <c r="N36" s="437"/>
      <c r="O36" s="438">
        <v>46422.317159851314</v>
      </c>
      <c r="P36" s="439">
        <v>0</v>
      </c>
      <c r="Q36" s="437"/>
      <c r="R36" s="438">
        <v>0</v>
      </c>
      <c r="S36" s="440">
        <v>851601</v>
      </c>
      <c r="T36" s="437">
        <v>0</v>
      </c>
      <c r="U36" s="437">
        <v>0</v>
      </c>
      <c r="V36" s="441">
        <v>0</v>
      </c>
      <c r="W36" s="440">
        <v>851601</v>
      </c>
      <c r="X36" s="438">
        <v>-2128</v>
      </c>
      <c r="Y36" s="440">
        <v>849473</v>
      </c>
      <c r="Z36" s="437">
        <v>0</v>
      </c>
      <c r="AA36" s="442">
        <v>55573</v>
      </c>
      <c r="AB36" s="440">
        <v>905046</v>
      </c>
      <c r="AC36" s="443">
        <v>0</v>
      </c>
      <c r="AD36" s="437">
        <v>905046</v>
      </c>
      <c r="AE36" s="444">
        <v>75422</v>
      </c>
      <c r="AF36" s="442">
        <v>16087</v>
      </c>
      <c r="AG36" s="444">
        <v>921133</v>
      </c>
      <c r="AH36" s="706"/>
      <c r="AI36" s="707">
        <v>1532325</v>
      </c>
      <c r="AJ36" s="436">
        <v>0</v>
      </c>
      <c r="AK36" s="706">
        <v>0</v>
      </c>
      <c r="AL36" s="436">
        <v>0</v>
      </c>
      <c r="AM36" s="708">
        <v>0</v>
      </c>
      <c r="AN36" s="709">
        <v>0</v>
      </c>
      <c r="AO36" s="707">
        <v>1532325</v>
      </c>
      <c r="AP36" s="445">
        <v>-3830</v>
      </c>
      <c r="AQ36" s="707">
        <v>1528495</v>
      </c>
      <c r="AR36" s="708">
        <v>0</v>
      </c>
      <c r="AS36" s="707">
        <v>1528495</v>
      </c>
      <c r="AT36" s="708">
        <v>0</v>
      </c>
      <c r="AU36" s="708">
        <v>1528495</v>
      </c>
      <c r="AV36" s="707">
        <v>127375</v>
      </c>
    </row>
    <row r="37" spans="1:48" ht="15.75" customHeight="1" x14ac:dyDescent="0.2">
      <c r="A37" s="674" t="s">
        <v>599</v>
      </c>
      <c r="B37" s="710">
        <v>29</v>
      </c>
      <c r="C37" s="548" t="s">
        <v>600</v>
      </c>
      <c r="D37" s="684">
        <v>270</v>
      </c>
      <c r="E37" s="550"/>
      <c r="F37" s="678">
        <v>1293256.074882145</v>
      </c>
      <c r="G37" s="679">
        <v>270</v>
      </c>
      <c r="H37" s="550"/>
      <c r="I37" s="678">
        <v>192668.06087728843</v>
      </c>
      <c r="J37" s="680">
        <v>0</v>
      </c>
      <c r="K37" s="550"/>
      <c r="L37" s="678">
        <v>0</v>
      </c>
      <c r="M37" s="679">
        <v>11</v>
      </c>
      <c r="N37" s="550"/>
      <c r="O37" s="678">
        <v>53518.905799246779</v>
      </c>
      <c r="P37" s="679">
        <v>2</v>
      </c>
      <c r="Q37" s="550"/>
      <c r="R37" s="678">
        <v>3892.284058127038</v>
      </c>
      <c r="S37" s="552">
        <v>1543335</v>
      </c>
      <c r="T37" s="550">
        <v>0</v>
      </c>
      <c r="U37" s="550">
        <v>0</v>
      </c>
      <c r="V37" s="551">
        <v>0</v>
      </c>
      <c r="W37" s="552">
        <v>1543335</v>
      </c>
      <c r="X37" s="678">
        <v>-3858</v>
      </c>
      <c r="Y37" s="552">
        <v>1539477</v>
      </c>
      <c r="Z37" s="550">
        <v>0</v>
      </c>
      <c r="AA37" s="681">
        <v>60880</v>
      </c>
      <c r="AB37" s="552">
        <v>1600357</v>
      </c>
      <c r="AC37" s="550">
        <v>0</v>
      </c>
      <c r="AD37" s="550">
        <v>1600357</v>
      </c>
      <c r="AE37" s="552">
        <v>133364</v>
      </c>
      <c r="AF37" s="681">
        <v>10000</v>
      </c>
      <c r="AG37" s="553">
        <v>1610357</v>
      </c>
      <c r="AH37" s="682"/>
      <c r="AI37" s="683">
        <v>659880</v>
      </c>
      <c r="AJ37" s="684">
        <v>0</v>
      </c>
      <c r="AK37" s="682">
        <v>0</v>
      </c>
      <c r="AL37" s="684">
        <v>0</v>
      </c>
      <c r="AM37" s="685">
        <v>0</v>
      </c>
      <c r="AN37" s="686">
        <v>0</v>
      </c>
      <c r="AO37" s="683">
        <v>659880</v>
      </c>
      <c r="AP37" s="687">
        <v>-1650</v>
      </c>
      <c r="AQ37" s="683">
        <v>658230</v>
      </c>
      <c r="AR37" s="685">
        <v>0</v>
      </c>
      <c r="AS37" s="683">
        <v>658230</v>
      </c>
      <c r="AT37" s="685">
        <v>0</v>
      </c>
      <c r="AU37" s="685">
        <v>658230</v>
      </c>
      <c r="AV37" s="683">
        <v>54853</v>
      </c>
    </row>
    <row r="38" spans="1:48" ht="15.75" customHeight="1" x14ac:dyDescent="0.2">
      <c r="A38" s="688" t="s">
        <v>601</v>
      </c>
      <c r="B38" s="711">
        <v>25</v>
      </c>
      <c r="C38" s="425" t="s">
        <v>895</v>
      </c>
      <c r="D38" s="426">
        <v>462</v>
      </c>
      <c r="E38" s="427"/>
      <c r="F38" s="428">
        <v>1664180.8893258488</v>
      </c>
      <c r="G38" s="429">
        <v>426</v>
      </c>
      <c r="H38" s="427"/>
      <c r="I38" s="428">
        <v>194571.01326201032</v>
      </c>
      <c r="J38" s="694">
        <v>173</v>
      </c>
      <c r="K38" s="427"/>
      <c r="L38" s="428">
        <v>21745.231821550406</v>
      </c>
      <c r="M38" s="429">
        <v>73</v>
      </c>
      <c r="N38" s="427"/>
      <c r="O38" s="428">
        <v>229212.63856266637</v>
      </c>
      <c r="P38" s="429">
        <v>0</v>
      </c>
      <c r="Q38" s="427"/>
      <c r="R38" s="428">
        <v>0</v>
      </c>
      <c r="S38" s="430">
        <v>2109710</v>
      </c>
      <c r="T38" s="427">
        <v>0</v>
      </c>
      <c r="U38" s="427">
        <v>0</v>
      </c>
      <c r="V38" s="431">
        <v>0</v>
      </c>
      <c r="W38" s="430">
        <v>2109710</v>
      </c>
      <c r="X38" s="428">
        <v>-5274</v>
      </c>
      <c r="Y38" s="430">
        <v>2104436</v>
      </c>
      <c r="Z38" s="427">
        <v>0</v>
      </c>
      <c r="AA38" s="432">
        <v>153964</v>
      </c>
      <c r="AB38" s="430">
        <v>2258400</v>
      </c>
      <c r="AC38" s="427">
        <v>0</v>
      </c>
      <c r="AD38" s="427">
        <v>2258400</v>
      </c>
      <c r="AE38" s="430">
        <v>188201</v>
      </c>
      <c r="AF38" s="432">
        <v>10000</v>
      </c>
      <c r="AG38" s="505">
        <v>2268400</v>
      </c>
      <c r="AH38" s="695"/>
      <c r="AI38" s="696">
        <v>3615618</v>
      </c>
      <c r="AJ38" s="426">
        <v>0</v>
      </c>
      <c r="AK38" s="695">
        <v>0</v>
      </c>
      <c r="AL38" s="426">
        <v>0</v>
      </c>
      <c r="AM38" s="697">
        <v>0</v>
      </c>
      <c r="AN38" s="698">
        <v>0</v>
      </c>
      <c r="AO38" s="696">
        <v>3615618</v>
      </c>
      <c r="AP38" s="433">
        <v>-9039</v>
      </c>
      <c r="AQ38" s="696">
        <v>3606579</v>
      </c>
      <c r="AR38" s="697">
        <v>0</v>
      </c>
      <c r="AS38" s="696">
        <v>3606579</v>
      </c>
      <c r="AT38" s="697">
        <v>0</v>
      </c>
      <c r="AU38" s="697">
        <v>3606579</v>
      </c>
      <c r="AV38" s="696">
        <v>300549</v>
      </c>
    </row>
    <row r="39" spans="1:48" ht="15.75" customHeight="1" x14ac:dyDescent="0.2">
      <c r="A39" s="688" t="s">
        <v>603</v>
      </c>
      <c r="B39" s="711">
        <v>11</v>
      </c>
      <c r="C39" s="425" t="s">
        <v>896</v>
      </c>
      <c r="D39" s="426">
        <v>668</v>
      </c>
      <c r="E39" s="427"/>
      <c r="F39" s="428">
        <v>2396657.9229897293</v>
      </c>
      <c r="G39" s="429">
        <v>633</v>
      </c>
      <c r="H39" s="427"/>
      <c r="I39" s="428">
        <v>288328.26400189177</v>
      </c>
      <c r="J39" s="694">
        <v>66</v>
      </c>
      <c r="K39" s="427"/>
      <c r="L39" s="428">
        <v>8439.48033143061</v>
      </c>
      <c r="M39" s="429">
        <v>81</v>
      </c>
      <c r="N39" s="427"/>
      <c r="O39" s="428">
        <v>250680.51266319712</v>
      </c>
      <c r="P39" s="429">
        <v>0</v>
      </c>
      <c r="Q39" s="427"/>
      <c r="R39" s="428">
        <v>0</v>
      </c>
      <c r="S39" s="430">
        <v>2944106</v>
      </c>
      <c r="T39" s="427">
        <v>0</v>
      </c>
      <c r="U39" s="427">
        <v>0</v>
      </c>
      <c r="V39" s="431">
        <v>0</v>
      </c>
      <c r="W39" s="430">
        <v>2944106</v>
      </c>
      <c r="X39" s="428">
        <v>-7360</v>
      </c>
      <c r="Y39" s="430">
        <v>2936746</v>
      </c>
      <c r="Z39" s="427">
        <v>0</v>
      </c>
      <c r="AA39" s="432">
        <v>161774</v>
      </c>
      <c r="AB39" s="430">
        <v>3098520</v>
      </c>
      <c r="AC39" s="427">
        <v>0</v>
      </c>
      <c r="AD39" s="427">
        <v>3098520</v>
      </c>
      <c r="AE39" s="430">
        <v>258209</v>
      </c>
      <c r="AF39" s="432">
        <v>0</v>
      </c>
      <c r="AG39" s="505">
        <v>3098520</v>
      </c>
      <c r="AH39" s="695"/>
      <c r="AI39" s="696">
        <v>5250300</v>
      </c>
      <c r="AJ39" s="426">
        <v>0</v>
      </c>
      <c r="AK39" s="695">
        <v>0</v>
      </c>
      <c r="AL39" s="426">
        <v>0</v>
      </c>
      <c r="AM39" s="697">
        <v>0</v>
      </c>
      <c r="AN39" s="698">
        <v>0</v>
      </c>
      <c r="AO39" s="696">
        <v>5250300</v>
      </c>
      <c r="AP39" s="433">
        <v>-13125</v>
      </c>
      <c r="AQ39" s="696">
        <v>5237175</v>
      </c>
      <c r="AR39" s="697">
        <v>0</v>
      </c>
      <c r="AS39" s="696">
        <v>5237175</v>
      </c>
      <c r="AT39" s="697">
        <v>0</v>
      </c>
      <c r="AU39" s="697">
        <v>5237175</v>
      </c>
      <c r="AV39" s="696">
        <v>436433</v>
      </c>
    </row>
    <row r="40" spans="1:48" s="41" customFormat="1" ht="15.75" customHeight="1" thickBot="1" x14ac:dyDescent="0.25">
      <c r="A40" s="1045" t="s">
        <v>713</v>
      </c>
      <c r="B40" s="1063"/>
      <c r="C40" s="1061"/>
      <c r="D40" s="713">
        <f>SUM(D7:D39)</f>
        <v>22039</v>
      </c>
      <c r="E40" s="524"/>
      <c r="F40" s="714">
        <f>SUM(F7:F39)</f>
        <v>87165815.104479209</v>
      </c>
      <c r="G40" s="713">
        <f>SUM(G7:G39)</f>
        <v>17024</v>
      </c>
      <c r="H40" s="524"/>
      <c r="I40" s="714">
        <f>SUM(I7:I39)</f>
        <v>8923548.5305337422</v>
      </c>
      <c r="J40" s="715">
        <f>SUM(J7:J39)</f>
        <v>10582.5</v>
      </c>
      <c r="K40" s="524"/>
      <c r="L40" s="714">
        <f>SUM(L7:L39)</f>
        <v>1512339.0911139273</v>
      </c>
      <c r="M40" s="713">
        <f>SUM(M7:M39)</f>
        <v>2554</v>
      </c>
      <c r="N40" s="524"/>
      <c r="O40" s="714">
        <f>SUM(O7:O39)</f>
        <v>9071568.9028695878</v>
      </c>
      <c r="P40" s="713">
        <f>SUM(P7:P39)</f>
        <v>548</v>
      </c>
      <c r="Q40" s="524"/>
      <c r="R40" s="714">
        <f t="shared" ref="R40:AG40" si="2">SUM(R7:R39)</f>
        <v>786621.04946733592</v>
      </c>
      <c r="S40" s="568">
        <f t="shared" si="2"/>
        <v>107459889</v>
      </c>
      <c r="T40" s="524">
        <f t="shared" si="2"/>
        <v>0</v>
      </c>
      <c r="U40" s="524">
        <f t="shared" si="2"/>
        <v>0</v>
      </c>
      <c r="V40" s="567">
        <f t="shared" si="2"/>
        <v>0</v>
      </c>
      <c r="W40" s="568">
        <f t="shared" si="2"/>
        <v>107459889</v>
      </c>
      <c r="X40" s="714">
        <f t="shared" si="2"/>
        <v>-268644</v>
      </c>
      <c r="Y40" s="568">
        <f t="shared" si="2"/>
        <v>107191245</v>
      </c>
      <c r="Z40" s="714">
        <f t="shared" si="2"/>
        <v>-47744</v>
      </c>
      <c r="AA40" s="716">
        <f t="shared" si="2"/>
        <v>5772398</v>
      </c>
      <c r="AB40" s="568">
        <f t="shared" si="2"/>
        <v>112915899</v>
      </c>
      <c r="AC40" s="524">
        <f t="shared" si="2"/>
        <v>0</v>
      </c>
      <c r="AD40" s="524">
        <f t="shared" si="2"/>
        <v>112915899</v>
      </c>
      <c r="AE40" s="568">
        <f t="shared" si="2"/>
        <v>9409669</v>
      </c>
      <c r="AF40" s="716">
        <f t="shared" si="2"/>
        <v>411370</v>
      </c>
      <c r="AG40" s="717">
        <f t="shared" si="2"/>
        <v>113327269</v>
      </c>
      <c r="AH40" s="718"/>
      <c r="AI40" s="528">
        <f t="shared" ref="AI40:AV40" si="3">SUM(AI7:AI39)</f>
        <v>131241699</v>
      </c>
      <c r="AJ40" s="713">
        <f t="shared" si="3"/>
        <v>0</v>
      </c>
      <c r="AK40" s="718">
        <f t="shared" si="3"/>
        <v>0</v>
      </c>
      <c r="AL40" s="713">
        <f t="shared" si="3"/>
        <v>0</v>
      </c>
      <c r="AM40" s="719">
        <f t="shared" si="3"/>
        <v>0</v>
      </c>
      <c r="AN40" s="720">
        <f t="shared" si="3"/>
        <v>0</v>
      </c>
      <c r="AO40" s="528">
        <f t="shared" si="3"/>
        <v>131241699</v>
      </c>
      <c r="AP40" s="721">
        <f t="shared" si="3"/>
        <v>-328100</v>
      </c>
      <c r="AQ40" s="528">
        <f t="shared" si="3"/>
        <v>130913599</v>
      </c>
      <c r="AR40" s="719">
        <f t="shared" si="3"/>
        <v>-52920</v>
      </c>
      <c r="AS40" s="528">
        <f t="shared" si="3"/>
        <v>130860679</v>
      </c>
      <c r="AT40" s="719">
        <f t="shared" si="3"/>
        <v>0</v>
      </c>
      <c r="AU40" s="719">
        <f t="shared" si="3"/>
        <v>130860679</v>
      </c>
      <c r="AV40" s="528">
        <f t="shared" si="3"/>
        <v>10905073</v>
      </c>
    </row>
    <row r="41" spans="1:48" ht="13.5" thickTop="1" x14ac:dyDescent="0.2">
      <c r="A41" s="674" t="s">
        <v>585</v>
      </c>
      <c r="B41" s="710"/>
      <c r="C41" s="548" t="s">
        <v>897</v>
      </c>
      <c r="D41" s="684"/>
      <c r="E41" s="550"/>
      <c r="F41" s="678"/>
      <c r="G41" s="679"/>
      <c r="H41" s="550"/>
      <c r="I41" s="678"/>
      <c r="J41" s="679"/>
      <c r="K41" s="550"/>
      <c r="L41" s="678"/>
      <c r="M41" s="679"/>
      <c r="N41" s="550"/>
      <c r="O41" s="678"/>
      <c r="P41" s="679"/>
      <c r="Q41" s="550"/>
      <c r="R41" s="678"/>
      <c r="S41" s="552">
        <v>1083321</v>
      </c>
    </row>
    <row r="42" spans="1:48" x14ac:dyDescent="0.2">
      <c r="A42" s="699">
        <v>345001</v>
      </c>
      <c r="B42" s="712"/>
      <c r="C42" s="435" t="s">
        <v>898</v>
      </c>
      <c r="D42" s="436"/>
      <c r="E42" s="437"/>
      <c r="F42" s="438"/>
      <c r="G42" s="439"/>
      <c r="H42" s="437"/>
      <c r="I42" s="438"/>
      <c r="J42" s="439"/>
      <c r="K42" s="437"/>
      <c r="L42" s="438"/>
      <c r="M42" s="439"/>
      <c r="N42" s="437"/>
      <c r="O42" s="438"/>
      <c r="P42" s="439"/>
      <c r="Q42" s="437"/>
      <c r="R42" s="438"/>
      <c r="S42" s="440">
        <v>1923749</v>
      </c>
    </row>
  </sheetData>
  <sheetProtection password="D893" sheet="1" objects="1" scenarios="1" formatCells="0" formatColumns="0" formatRows="0"/>
  <mergeCells count="35">
    <mergeCell ref="A40:C40"/>
    <mergeCell ref="AR2:AR3"/>
    <mergeCell ref="AS2:AS3"/>
    <mergeCell ref="AT2:AT3"/>
    <mergeCell ref="AU2:AU3"/>
    <mergeCell ref="AB2:AB3"/>
    <mergeCell ref="AC2:AC3"/>
    <mergeCell ref="AD2:AD3"/>
    <mergeCell ref="AE2:AE3"/>
    <mergeCell ref="AF2:AF3"/>
    <mergeCell ref="AG2:AG3"/>
    <mergeCell ref="D2:D3"/>
    <mergeCell ref="E2:F2"/>
    <mergeCell ref="G2:I2"/>
    <mergeCell ref="J2:L2"/>
    <mergeCell ref="M2:O2"/>
    <mergeCell ref="P2:R2"/>
    <mergeCell ref="S2:S3"/>
    <mergeCell ref="T2:V2"/>
    <mergeCell ref="W2:W3"/>
    <mergeCell ref="A1:C3"/>
    <mergeCell ref="D1:S1"/>
    <mergeCell ref="T1:AG1"/>
    <mergeCell ref="AH1:AV1"/>
    <mergeCell ref="X2:X3"/>
    <mergeCell ref="Y2:Y3"/>
    <mergeCell ref="Z2:Z3"/>
    <mergeCell ref="AA2:AA3"/>
    <mergeCell ref="AV2:AV3"/>
    <mergeCell ref="AH2:AH3"/>
    <mergeCell ref="AI2:AI3"/>
    <mergeCell ref="AJ2:AN2"/>
    <mergeCell ref="AO2:AO3"/>
    <mergeCell ref="AP2:AP3"/>
    <mergeCell ref="AQ2:AQ3"/>
  </mergeCells>
  <printOptions horizontalCentered="1"/>
  <pageMargins left="0.3" right="0.3" top="0.85" bottom="0.55000000000000004" header="0.3" footer="0.3"/>
  <pageSetup paperSize="5" scale="68" firstPageNumber="50" fitToWidth="0" fitToHeight="0" orientation="landscape" r:id="rId1"/>
  <headerFooter alignWithMargins="0">
    <oddHeader>&amp;L&amp;"Arial,Bold"&amp;18&amp;K000000FY2021-22 Budget Letter
July 2021</oddHeader>
    <oddFooter>&amp;R&amp;P</oddFooter>
  </headerFooter>
  <colBreaks count="2" manualBreakCount="2">
    <brk id="19" max="39" man="1"/>
    <brk id="33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79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4.7109375" style="2" customWidth="1"/>
    <col min="2" max="2" width="18.5703125" style="2" customWidth="1"/>
    <col min="3" max="3" width="16" style="2" customWidth="1"/>
    <col min="4" max="4" width="16.85546875" style="2" bestFit="1" customWidth="1"/>
    <col min="5" max="5" width="13.7109375" style="2" customWidth="1"/>
    <col min="6" max="7" width="16" style="2" customWidth="1"/>
    <col min="8" max="8" width="13.7109375" style="2" bestFit="1" customWidth="1"/>
    <col min="9" max="9" width="13.85546875" style="2" customWidth="1"/>
    <col min="10" max="10" width="15.5703125" style="2" bestFit="1" customWidth="1"/>
    <col min="11" max="16384" width="8.85546875" style="2"/>
  </cols>
  <sheetData>
    <row r="1" spans="1:10" ht="18.600000000000001" customHeight="1" x14ac:dyDescent="0.2">
      <c r="A1" s="1091" t="s">
        <v>899</v>
      </c>
      <c r="B1" s="1092"/>
      <c r="C1" s="1095" t="s">
        <v>900</v>
      </c>
      <c r="D1" s="1096"/>
      <c r="E1" s="1097"/>
      <c r="F1" s="1098" t="s">
        <v>901</v>
      </c>
      <c r="G1" s="1099"/>
      <c r="H1" s="1100"/>
      <c r="I1" s="1101" t="s">
        <v>902</v>
      </c>
      <c r="J1" s="1104" t="s">
        <v>903</v>
      </c>
    </row>
    <row r="2" spans="1:10" ht="72.599999999999994" customHeight="1" x14ac:dyDescent="0.2">
      <c r="A2" s="938"/>
      <c r="B2" s="939"/>
      <c r="C2" s="1106" t="s">
        <v>904</v>
      </c>
      <c r="D2" s="1106" t="s">
        <v>905</v>
      </c>
      <c r="E2" s="723" t="s">
        <v>906</v>
      </c>
      <c r="F2" s="1107" t="s">
        <v>907</v>
      </c>
      <c r="G2" s="1107" t="s">
        <v>908</v>
      </c>
      <c r="H2" s="724" t="s">
        <v>909</v>
      </c>
      <c r="I2" s="1102"/>
      <c r="J2" s="1105"/>
    </row>
    <row r="3" spans="1:10" ht="15.75" customHeight="1" x14ac:dyDescent="0.2">
      <c r="A3" s="1093"/>
      <c r="B3" s="1094"/>
      <c r="C3" s="1106"/>
      <c r="D3" s="1106"/>
      <c r="E3" s="725">
        <f>'7_Local Revenue'!AD76*J77</f>
        <v>14.318408999999999</v>
      </c>
      <c r="F3" s="1107"/>
      <c r="G3" s="1107"/>
      <c r="H3" s="726">
        <f>'7_Local Revenue'!AG76*J77</f>
        <v>6.9829200000000001E-3</v>
      </c>
      <c r="I3" s="1103"/>
      <c r="J3" s="954"/>
    </row>
    <row r="4" spans="1:10" ht="14.25" customHeight="1" x14ac:dyDescent="0.2">
      <c r="A4" s="727"/>
      <c r="B4" s="727"/>
      <c r="C4" s="728">
        <v>1</v>
      </c>
      <c r="D4" s="729">
        <f t="shared" ref="D4:J4" si="0">1+C4</f>
        <v>2</v>
      </c>
      <c r="E4" s="729">
        <f t="shared" si="0"/>
        <v>3</v>
      </c>
      <c r="F4" s="729">
        <f t="shared" si="0"/>
        <v>4</v>
      </c>
      <c r="G4" s="729">
        <f t="shared" si="0"/>
        <v>5</v>
      </c>
      <c r="H4" s="729">
        <f t="shared" si="0"/>
        <v>6</v>
      </c>
      <c r="I4" s="730">
        <f t="shared" si="0"/>
        <v>7</v>
      </c>
      <c r="J4" s="729">
        <f t="shared" si="0"/>
        <v>8</v>
      </c>
    </row>
    <row r="5" spans="1:10" s="381" customFormat="1" ht="14.25" hidden="1" customHeight="1" x14ac:dyDescent="0.2">
      <c r="A5" s="731"/>
      <c r="B5" s="731"/>
      <c r="C5" s="732" t="s">
        <v>73</v>
      </c>
      <c r="D5" s="733" t="s">
        <v>73</v>
      </c>
      <c r="E5" s="733" t="s">
        <v>74</v>
      </c>
      <c r="F5" s="733" t="s">
        <v>73</v>
      </c>
      <c r="G5" s="733" t="s">
        <v>73</v>
      </c>
      <c r="H5" s="733" t="s">
        <v>74</v>
      </c>
      <c r="I5" s="733" t="s">
        <v>73</v>
      </c>
      <c r="J5" s="733" t="s">
        <v>74</v>
      </c>
    </row>
    <row r="6" spans="1:10" s="381" customFormat="1" ht="14.25" customHeight="1" x14ac:dyDescent="0.2">
      <c r="A6" s="731"/>
      <c r="B6" s="731"/>
      <c r="C6" s="732" t="s">
        <v>910</v>
      </c>
      <c r="D6" s="733" t="s">
        <v>911</v>
      </c>
      <c r="E6" s="733" t="s">
        <v>912</v>
      </c>
      <c r="F6" s="733" t="s">
        <v>913</v>
      </c>
      <c r="G6" s="733" t="s">
        <v>914</v>
      </c>
      <c r="H6" s="733" t="s">
        <v>915</v>
      </c>
      <c r="I6" s="733" t="s">
        <v>916</v>
      </c>
      <c r="J6" s="733" t="s">
        <v>917</v>
      </c>
    </row>
    <row r="7" spans="1:10" ht="16.899999999999999" customHeight="1" x14ac:dyDescent="0.2">
      <c r="A7" s="734">
        <v>1</v>
      </c>
      <c r="B7" s="735" t="s">
        <v>131</v>
      </c>
      <c r="C7" s="736">
        <f>'7_Local Revenue'!AF7</f>
        <v>11867841</v>
      </c>
      <c r="D7" s="736">
        <f>'7_Local Revenue'!H7</f>
        <v>402278345</v>
      </c>
      <c r="E7" s="736">
        <f t="shared" ref="E7:E70" si="1">ROUND(D7*$E$3/1000,0)</f>
        <v>5759986</v>
      </c>
      <c r="F7" s="736">
        <f>'7_Local Revenue'!AK7</f>
        <v>12427018</v>
      </c>
      <c r="G7" s="736">
        <f>'7_Local Revenue'!AO7</f>
        <v>828467867</v>
      </c>
      <c r="H7" s="736">
        <f t="shared" ref="H7:H70" si="2">ROUND(G7*$H$3,0)</f>
        <v>5785125</v>
      </c>
      <c r="I7" s="736">
        <f>'7_Local Revenue'!AR7</f>
        <v>471551</v>
      </c>
      <c r="J7" s="737">
        <f t="shared" ref="J7:J70" si="3">E7+H7+I7</f>
        <v>12016662</v>
      </c>
    </row>
    <row r="8" spans="1:10" ht="16.899999999999999" customHeight="1" x14ac:dyDescent="0.2">
      <c r="A8" s="738">
        <v>2</v>
      </c>
      <c r="B8" s="739" t="s">
        <v>132</v>
      </c>
      <c r="C8" s="740">
        <f>'7_Local Revenue'!AF8</f>
        <v>5779410</v>
      </c>
      <c r="D8" s="740">
        <f>'7_Local Revenue'!H8</f>
        <v>120902421</v>
      </c>
      <c r="E8" s="740">
        <f t="shared" si="1"/>
        <v>1731130</v>
      </c>
      <c r="F8" s="740">
        <f>'7_Local Revenue'!AK8</f>
        <v>7690491</v>
      </c>
      <c r="G8" s="740">
        <f>'7_Local Revenue'!AO8</f>
        <v>256349700</v>
      </c>
      <c r="H8" s="740">
        <f t="shared" si="2"/>
        <v>1790069</v>
      </c>
      <c r="I8" s="740">
        <f>'7_Local Revenue'!AR8</f>
        <v>88467</v>
      </c>
      <c r="J8" s="741">
        <f t="shared" si="3"/>
        <v>3609666</v>
      </c>
    </row>
    <row r="9" spans="1:10" ht="16.899999999999999" customHeight="1" x14ac:dyDescent="0.2">
      <c r="A9" s="738">
        <v>3</v>
      </c>
      <c r="B9" s="739" t="s">
        <v>133</v>
      </c>
      <c r="C9" s="740">
        <f>'7_Local Revenue'!AF9</f>
        <v>88233675</v>
      </c>
      <c r="D9" s="740">
        <f>'7_Local Revenue'!H9</f>
        <v>1446724130.5</v>
      </c>
      <c r="E9" s="740">
        <f t="shared" si="1"/>
        <v>20714788</v>
      </c>
      <c r="F9" s="740">
        <f>'7_Local Revenue'!AK9</f>
        <v>66829877</v>
      </c>
      <c r="G9" s="740">
        <f>'7_Local Revenue'!AO9</f>
        <v>3341493850</v>
      </c>
      <c r="H9" s="740">
        <f t="shared" si="2"/>
        <v>23333384</v>
      </c>
      <c r="I9" s="740">
        <f>'7_Local Revenue'!AR9</f>
        <v>207737</v>
      </c>
      <c r="J9" s="741">
        <f t="shared" si="3"/>
        <v>44255909</v>
      </c>
    </row>
    <row r="10" spans="1:10" ht="16.899999999999999" customHeight="1" x14ac:dyDescent="0.2">
      <c r="A10" s="738">
        <v>4</v>
      </c>
      <c r="B10" s="739" t="s">
        <v>134</v>
      </c>
      <c r="C10" s="740">
        <f>'7_Local Revenue'!AF10</f>
        <v>7735468</v>
      </c>
      <c r="D10" s="740">
        <f>'7_Local Revenue'!H10</f>
        <v>199938011</v>
      </c>
      <c r="E10" s="740">
        <f t="shared" si="1"/>
        <v>2862794</v>
      </c>
      <c r="F10" s="740">
        <f>'7_Local Revenue'!AK10</f>
        <v>6525482</v>
      </c>
      <c r="G10" s="740">
        <f>'7_Local Revenue'!AO10</f>
        <v>217516067</v>
      </c>
      <c r="H10" s="740">
        <f t="shared" si="2"/>
        <v>1518897</v>
      </c>
      <c r="I10" s="740">
        <f>'7_Local Revenue'!AR10</f>
        <v>105111</v>
      </c>
      <c r="J10" s="741">
        <f t="shared" si="3"/>
        <v>4486802</v>
      </c>
    </row>
    <row r="11" spans="1:10" ht="16.899999999999999" customHeight="1" x14ac:dyDescent="0.2">
      <c r="A11" s="742">
        <v>5</v>
      </c>
      <c r="B11" s="743" t="s">
        <v>135</v>
      </c>
      <c r="C11" s="744">
        <f>'7_Local Revenue'!AF11</f>
        <v>3514037</v>
      </c>
      <c r="D11" s="744">
        <f>'7_Local Revenue'!H11</f>
        <v>149906681</v>
      </c>
      <c r="E11" s="744">
        <f t="shared" si="1"/>
        <v>2146425</v>
      </c>
      <c r="F11" s="744">
        <f>'7_Local Revenue'!AK11</f>
        <v>8351435</v>
      </c>
      <c r="G11" s="744">
        <f>'7_Local Revenue'!AO11</f>
        <v>477224857</v>
      </c>
      <c r="H11" s="744">
        <f t="shared" si="2"/>
        <v>3332423</v>
      </c>
      <c r="I11" s="744">
        <f>'7_Local Revenue'!AR11</f>
        <v>407317</v>
      </c>
      <c r="J11" s="745">
        <f t="shared" si="3"/>
        <v>5886165</v>
      </c>
    </row>
    <row r="12" spans="1:10" ht="16.899999999999999" customHeight="1" x14ac:dyDescent="0.2">
      <c r="A12" s="734">
        <v>6</v>
      </c>
      <c r="B12" s="735" t="s">
        <v>136</v>
      </c>
      <c r="C12" s="736">
        <f>'7_Local Revenue'!AF12</f>
        <v>14445180</v>
      </c>
      <c r="D12" s="736">
        <f>'7_Local Revenue'!H12</f>
        <v>274481446</v>
      </c>
      <c r="E12" s="736">
        <f t="shared" si="1"/>
        <v>3930138</v>
      </c>
      <c r="F12" s="736">
        <f>'7_Local Revenue'!AK12</f>
        <v>13503458</v>
      </c>
      <c r="G12" s="736">
        <f>'7_Local Revenue'!AO12</f>
        <v>628810685</v>
      </c>
      <c r="H12" s="736">
        <f t="shared" si="2"/>
        <v>4390935</v>
      </c>
      <c r="I12" s="736">
        <f>'7_Local Revenue'!AR12</f>
        <v>324659</v>
      </c>
      <c r="J12" s="737">
        <f t="shared" si="3"/>
        <v>8645732</v>
      </c>
    </row>
    <row r="13" spans="1:10" ht="16.899999999999999" customHeight="1" x14ac:dyDescent="0.2">
      <c r="A13" s="738">
        <v>7</v>
      </c>
      <c r="B13" s="739" t="s">
        <v>137</v>
      </c>
      <c r="C13" s="740">
        <f>'7_Local Revenue'!AF13</f>
        <v>21283562</v>
      </c>
      <c r="D13" s="740">
        <f>'7_Local Revenue'!H13</f>
        <v>335535562</v>
      </c>
      <c r="E13" s="740">
        <f t="shared" si="1"/>
        <v>4804335</v>
      </c>
      <c r="F13" s="740">
        <f>'7_Local Revenue'!AK13</f>
        <v>4949752</v>
      </c>
      <c r="G13" s="740">
        <f>'7_Local Revenue'!AO13</f>
        <v>233217814.99999997</v>
      </c>
      <c r="H13" s="740">
        <f t="shared" si="2"/>
        <v>1628541</v>
      </c>
      <c r="I13" s="740">
        <f>'7_Local Revenue'!AR13</f>
        <v>163872</v>
      </c>
      <c r="J13" s="741">
        <f t="shared" si="3"/>
        <v>6596748</v>
      </c>
    </row>
    <row r="14" spans="1:10" ht="16.899999999999999" customHeight="1" x14ac:dyDescent="0.2">
      <c r="A14" s="738">
        <v>8</v>
      </c>
      <c r="B14" s="739" t="s">
        <v>138</v>
      </c>
      <c r="C14" s="740">
        <f>'7_Local Revenue'!AF14</f>
        <v>66046190</v>
      </c>
      <c r="D14" s="740">
        <f>'7_Local Revenue'!H14</f>
        <v>1027419673</v>
      </c>
      <c r="E14" s="740">
        <f t="shared" si="1"/>
        <v>14711015</v>
      </c>
      <c r="F14" s="740">
        <f>'7_Local Revenue'!AK14</f>
        <v>48720733</v>
      </c>
      <c r="G14" s="740">
        <f>'7_Local Revenue'!AO14</f>
        <v>2784041886</v>
      </c>
      <c r="H14" s="740">
        <f t="shared" si="2"/>
        <v>19440742</v>
      </c>
      <c r="I14" s="740">
        <f>'7_Local Revenue'!AR14</f>
        <v>696295</v>
      </c>
      <c r="J14" s="741">
        <f t="shared" si="3"/>
        <v>34848052</v>
      </c>
    </row>
    <row r="15" spans="1:10" ht="16.899999999999999" customHeight="1" x14ac:dyDescent="0.2">
      <c r="A15" s="738">
        <v>9</v>
      </c>
      <c r="B15" s="739" t="s">
        <v>139</v>
      </c>
      <c r="C15" s="740">
        <f>'7_Local Revenue'!AF15</f>
        <v>134596294</v>
      </c>
      <c r="D15" s="740">
        <f>'7_Local Revenue'!H15</f>
        <v>1823404377</v>
      </c>
      <c r="E15" s="740">
        <f t="shared" si="1"/>
        <v>26108250</v>
      </c>
      <c r="F15" s="740">
        <f>'7_Local Revenue'!AK15</f>
        <v>79496736</v>
      </c>
      <c r="G15" s="740">
        <f>'7_Local Revenue'!AO15</f>
        <v>5299782400</v>
      </c>
      <c r="H15" s="740">
        <f t="shared" si="2"/>
        <v>37007957</v>
      </c>
      <c r="I15" s="740">
        <f>'7_Local Revenue'!AR15</f>
        <v>3011992</v>
      </c>
      <c r="J15" s="741">
        <f t="shared" si="3"/>
        <v>66128199</v>
      </c>
    </row>
    <row r="16" spans="1:10" ht="16.899999999999999" customHeight="1" x14ac:dyDescent="0.2">
      <c r="A16" s="742">
        <v>10</v>
      </c>
      <c r="B16" s="743" t="s">
        <v>140</v>
      </c>
      <c r="C16" s="744">
        <f>'7_Local Revenue'!AF16</f>
        <v>71539322</v>
      </c>
      <c r="D16" s="744">
        <f>'7_Local Revenue'!H16</f>
        <v>2458826029</v>
      </c>
      <c r="E16" s="744">
        <f t="shared" si="1"/>
        <v>35206477</v>
      </c>
      <c r="F16" s="744">
        <f>'7_Local Revenue'!AK16</f>
        <v>153260354</v>
      </c>
      <c r="G16" s="744">
        <f>'7_Local Revenue'!AO16</f>
        <v>6130414160</v>
      </c>
      <c r="H16" s="744">
        <f t="shared" si="2"/>
        <v>42808192</v>
      </c>
      <c r="I16" s="744">
        <f>'7_Local Revenue'!AR16</f>
        <v>1029161</v>
      </c>
      <c r="J16" s="745">
        <f t="shared" si="3"/>
        <v>79043830</v>
      </c>
    </row>
    <row r="17" spans="1:10" ht="16.899999999999999" customHeight="1" x14ac:dyDescent="0.2">
      <c r="A17" s="734">
        <v>11</v>
      </c>
      <c r="B17" s="735" t="s">
        <v>141</v>
      </c>
      <c r="C17" s="736">
        <f>'7_Local Revenue'!AF17</f>
        <v>2939421</v>
      </c>
      <c r="D17" s="736">
        <f>'7_Local Revenue'!H17</f>
        <v>63572969</v>
      </c>
      <c r="E17" s="736">
        <f t="shared" si="1"/>
        <v>910264</v>
      </c>
      <c r="F17" s="736">
        <f>'7_Local Revenue'!AK17</f>
        <v>2279931</v>
      </c>
      <c r="G17" s="736">
        <f>'7_Local Revenue'!AO17</f>
        <v>113996550</v>
      </c>
      <c r="H17" s="736">
        <f t="shared" si="2"/>
        <v>796029</v>
      </c>
      <c r="I17" s="736">
        <f>'7_Local Revenue'!AR17</f>
        <v>77554</v>
      </c>
      <c r="J17" s="737">
        <f t="shared" si="3"/>
        <v>1783847</v>
      </c>
    </row>
    <row r="18" spans="1:10" ht="16.899999999999999" customHeight="1" x14ac:dyDescent="0.2">
      <c r="A18" s="738">
        <v>12</v>
      </c>
      <c r="B18" s="739" t="s">
        <v>142</v>
      </c>
      <c r="C18" s="740">
        <f>'7_Local Revenue'!AF18</f>
        <v>11395518</v>
      </c>
      <c r="D18" s="740">
        <f>'7_Local Revenue'!H18</f>
        <v>280739606.40000004</v>
      </c>
      <c r="E18" s="740">
        <f t="shared" si="1"/>
        <v>4019745</v>
      </c>
      <c r="F18" s="740">
        <f>'7_Local Revenue'!AK18</f>
        <v>0</v>
      </c>
      <c r="G18" s="740">
        <f>'7_Local Revenue'!AO18</f>
        <v>230906229</v>
      </c>
      <c r="H18" s="740">
        <f t="shared" si="2"/>
        <v>1612400</v>
      </c>
      <c r="I18" s="740">
        <f>'7_Local Revenue'!AR18</f>
        <v>559116</v>
      </c>
      <c r="J18" s="741">
        <f t="shared" si="3"/>
        <v>6191261</v>
      </c>
    </row>
    <row r="19" spans="1:10" ht="16.899999999999999" customHeight="1" x14ac:dyDescent="0.2">
      <c r="A19" s="738">
        <v>13</v>
      </c>
      <c r="B19" s="739" t="s">
        <v>143</v>
      </c>
      <c r="C19" s="740">
        <f>'7_Local Revenue'!AF19</f>
        <v>927027</v>
      </c>
      <c r="D19" s="740">
        <f>'7_Local Revenue'!H19</f>
        <v>40435544</v>
      </c>
      <c r="E19" s="740">
        <f t="shared" si="1"/>
        <v>578973</v>
      </c>
      <c r="F19" s="740">
        <f>'7_Local Revenue'!AK19</f>
        <v>2669130</v>
      </c>
      <c r="G19" s="740">
        <f>'7_Local Revenue'!AO19</f>
        <v>88971000</v>
      </c>
      <c r="H19" s="740">
        <f t="shared" si="2"/>
        <v>621277</v>
      </c>
      <c r="I19" s="740">
        <f>'7_Local Revenue'!AR19</f>
        <v>123251</v>
      </c>
      <c r="J19" s="741">
        <f t="shared" si="3"/>
        <v>1323501</v>
      </c>
    </row>
    <row r="20" spans="1:10" ht="16.899999999999999" customHeight="1" x14ac:dyDescent="0.2">
      <c r="A20" s="738">
        <v>14</v>
      </c>
      <c r="B20" s="739" t="s">
        <v>144</v>
      </c>
      <c r="C20" s="740">
        <f>'7_Local Revenue'!AF20</f>
        <v>4468057</v>
      </c>
      <c r="D20" s="740">
        <f>'7_Local Revenue'!H20</f>
        <v>129508498</v>
      </c>
      <c r="E20" s="740">
        <f t="shared" si="1"/>
        <v>1854356</v>
      </c>
      <c r="F20" s="740">
        <f>'7_Local Revenue'!AK20</f>
        <v>2643264</v>
      </c>
      <c r="G20" s="740">
        <f>'7_Local Revenue'!AO20</f>
        <v>132163200</v>
      </c>
      <c r="H20" s="740">
        <f t="shared" si="2"/>
        <v>922885</v>
      </c>
      <c r="I20" s="740">
        <f>'7_Local Revenue'!AR20</f>
        <v>133667</v>
      </c>
      <c r="J20" s="741">
        <f t="shared" si="3"/>
        <v>2910908</v>
      </c>
    </row>
    <row r="21" spans="1:10" ht="16.899999999999999" customHeight="1" x14ac:dyDescent="0.2">
      <c r="A21" s="742">
        <v>15</v>
      </c>
      <c r="B21" s="743" t="s">
        <v>145</v>
      </c>
      <c r="C21" s="744">
        <f>'7_Local Revenue'!AF21</f>
        <v>5450199</v>
      </c>
      <c r="D21" s="744">
        <f>'7_Local Revenue'!H21</f>
        <v>135789210</v>
      </c>
      <c r="E21" s="744">
        <f t="shared" si="1"/>
        <v>1944285</v>
      </c>
      <c r="F21" s="744">
        <f>'7_Local Revenue'!AK21</f>
        <v>5581235</v>
      </c>
      <c r="G21" s="744">
        <f>'7_Local Revenue'!AO21</f>
        <v>279061750</v>
      </c>
      <c r="H21" s="744">
        <f t="shared" si="2"/>
        <v>1948666</v>
      </c>
      <c r="I21" s="744">
        <f>'7_Local Revenue'!AR21</f>
        <v>176970</v>
      </c>
      <c r="J21" s="745">
        <f t="shared" si="3"/>
        <v>4069921</v>
      </c>
    </row>
    <row r="22" spans="1:10" ht="16.899999999999999" customHeight="1" x14ac:dyDescent="0.2">
      <c r="A22" s="734">
        <v>16</v>
      </c>
      <c r="B22" s="735" t="s">
        <v>146</v>
      </c>
      <c r="C22" s="736">
        <f>'7_Local Revenue'!AF22</f>
        <v>42702812</v>
      </c>
      <c r="D22" s="736">
        <f>'7_Local Revenue'!H22</f>
        <v>716445294</v>
      </c>
      <c r="E22" s="736">
        <f t="shared" si="1"/>
        <v>10258357</v>
      </c>
      <c r="F22" s="736">
        <f>'7_Local Revenue'!AK22</f>
        <v>25844708</v>
      </c>
      <c r="G22" s="736">
        <f>'7_Local Revenue'!AO22</f>
        <v>1033788320</v>
      </c>
      <c r="H22" s="736">
        <f t="shared" si="2"/>
        <v>7218861</v>
      </c>
      <c r="I22" s="736">
        <f>'7_Local Revenue'!AR22</f>
        <v>781841</v>
      </c>
      <c r="J22" s="737">
        <f t="shared" si="3"/>
        <v>18259059</v>
      </c>
    </row>
    <row r="23" spans="1:10" ht="16.899999999999999" customHeight="1" x14ac:dyDescent="0.2">
      <c r="A23" s="738">
        <v>17</v>
      </c>
      <c r="B23" s="739" t="s">
        <v>147</v>
      </c>
      <c r="C23" s="740">
        <f>'7_Local Revenue'!AF23</f>
        <v>172923677</v>
      </c>
      <c r="D23" s="740">
        <f>'7_Local Revenue'!H23</f>
        <v>3955995189.9200001</v>
      </c>
      <c r="E23" s="740">
        <f t="shared" si="1"/>
        <v>56643557</v>
      </c>
      <c r="F23" s="740">
        <f>'7_Local Revenue'!AK23</f>
        <v>178160212</v>
      </c>
      <c r="G23" s="740">
        <f>'7_Local Revenue'!AO23</f>
        <v>8908010600</v>
      </c>
      <c r="H23" s="740">
        <f t="shared" si="2"/>
        <v>62203925</v>
      </c>
      <c r="I23" s="740">
        <f>'7_Local Revenue'!AR23</f>
        <v>3979947</v>
      </c>
      <c r="J23" s="741">
        <f t="shared" si="3"/>
        <v>122827429</v>
      </c>
    </row>
    <row r="24" spans="1:10" ht="16.899999999999999" customHeight="1" x14ac:dyDescent="0.2">
      <c r="A24" s="738">
        <v>18</v>
      </c>
      <c r="B24" s="739" t="s">
        <v>148</v>
      </c>
      <c r="C24" s="740">
        <f>'7_Local Revenue'!AF24</f>
        <v>791976</v>
      </c>
      <c r="D24" s="740">
        <f>'7_Local Revenue'!H24</f>
        <v>48792697</v>
      </c>
      <c r="E24" s="740">
        <f t="shared" si="1"/>
        <v>698634</v>
      </c>
      <c r="F24" s="740">
        <f>'7_Local Revenue'!AK24</f>
        <v>1815260</v>
      </c>
      <c r="G24" s="740">
        <f>'7_Local Revenue'!AO24</f>
        <v>60508667</v>
      </c>
      <c r="H24" s="740">
        <f t="shared" si="2"/>
        <v>422527</v>
      </c>
      <c r="I24" s="740">
        <f>'7_Local Revenue'!AR24</f>
        <v>120279</v>
      </c>
      <c r="J24" s="741">
        <f t="shared" si="3"/>
        <v>1241440</v>
      </c>
    </row>
    <row r="25" spans="1:10" ht="16.899999999999999" customHeight="1" x14ac:dyDescent="0.2">
      <c r="A25" s="738">
        <v>19</v>
      </c>
      <c r="B25" s="739" t="s">
        <v>149</v>
      </c>
      <c r="C25" s="740">
        <f>'7_Local Revenue'!AF25</f>
        <v>3771785</v>
      </c>
      <c r="D25" s="740">
        <f>'7_Local Revenue'!H25</f>
        <v>187009707</v>
      </c>
      <c r="E25" s="740">
        <f t="shared" si="1"/>
        <v>2677681</v>
      </c>
      <c r="F25" s="740">
        <f>'7_Local Revenue'!AK25</f>
        <v>3717156</v>
      </c>
      <c r="G25" s="740">
        <f>'7_Local Revenue'!AO25</f>
        <v>185857800</v>
      </c>
      <c r="H25" s="740">
        <f t="shared" si="2"/>
        <v>1297830</v>
      </c>
      <c r="I25" s="740">
        <f>'7_Local Revenue'!AR25</f>
        <v>72748</v>
      </c>
      <c r="J25" s="741">
        <f t="shared" si="3"/>
        <v>4048259</v>
      </c>
    </row>
    <row r="26" spans="1:10" ht="16.899999999999999" customHeight="1" x14ac:dyDescent="0.2">
      <c r="A26" s="742">
        <v>20</v>
      </c>
      <c r="B26" s="743" t="s">
        <v>150</v>
      </c>
      <c r="C26" s="744">
        <f>'7_Local Revenue'!AF26</f>
        <v>7660638</v>
      </c>
      <c r="D26" s="744">
        <f>'7_Local Revenue'!H26</f>
        <v>245022606</v>
      </c>
      <c r="E26" s="744">
        <f t="shared" si="1"/>
        <v>3508334</v>
      </c>
      <c r="F26" s="744">
        <f>'7_Local Revenue'!AK26</f>
        <v>7580227</v>
      </c>
      <c r="G26" s="744">
        <f>'7_Local Revenue'!AO26</f>
        <v>379011350</v>
      </c>
      <c r="H26" s="744">
        <f t="shared" si="2"/>
        <v>2646606</v>
      </c>
      <c r="I26" s="744">
        <f>'7_Local Revenue'!AR26</f>
        <v>207124</v>
      </c>
      <c r="J26" s="745">
        <f t="shared" si="3"/>
        <v>6362064</v>
      </c>
    </row>
    <row r="27" spans="1:10" ht="16.899999999999999" customHeight="1" x14ac:dyDescent="0.2">
      <c r="A27" s="734">
        <v>21</v>
      </c>
      <c r="B27" s="735" t="s">
        <v>151</v>
      </c>
      <c r="C27" s="736">
        <f>'7_Local Revenue'!AF27</f>
        <v>2558649</v>
      </c>
      <c r="D27" s="736">
        <f>'7_Local Revenue'!H27</f>
        <v>106912293</v>
      </c>
      <c r="E27" s="736">
        <f t="shared" si="1"/>
        <v>1530814</v>
      </c>
      <c r="F27" s="736">
        <f>'7_Local Revenue'!AK27</f>
        <v>5543815</v>
      </c>
      <c r="G27" s="736">
        <f>'7_Local Revenue'!AO27</f>
        <v>277190750</v>
      </c>
      <c r="H27" s="736">
        <f t="shared" si="2"/>
        <v>1935601</v>
      </c>
      <c r="I27" s="736">
        <f>'7_Local Revenue'!AR27</f>
        <v>79266</v>
      </c>
      <c r="J27" s="737">
        <f t="shared" si="3"/>
        <v>3545681</v>
      </c>
    </row>
    <row r="28" spans="1:10" ht="16.899999999999999" customHeight="1" x14ac:dyDescent="0.2">
      <c r="A28" s="738">
        <v>22</v>
      </c>
      <c r="B28" s="739" t="s">
        <v>152</v>
      </c>
      <c r="C28" s="740">
        <f>'7_Local Revenue'!AF28</f>
        <v>3305883</v>
      </c>
      <c r="D28" s="740">
        <f>'7_Local Revenue'!H28</f>
        <v>57251560</v>
      </c>
      <c r="E28" s="740">
        <f t="shared" si="1"/>
        <v>819751</v>
      </c>
      <c r="F28" s="740">
        <f>'7_Local Revenue'!AK28</f>
        <v>2804660</v>
      </c>
      <c r="G28" s="740">
        <f>'7_Local Revenue'!AO28</f>
        <v>140233000</v>
      </c>
      <c r="H28" s="740">
        <f t="shared" si="2"/>
        <v>979236</v>
      </c>
      <c r="I28" s="740">
        <f>'7_Local Revenue'!AR28</f>
        <v>378456</v>
      </c>
      <c r="J28" s="741">
        <f t="shared" si="3"/>
        <v>2177443</v>
      </c>
    </row>
    <row r="29" spans="1:10" ht="16.899999999999999" customHeight="1" x14ac:dyDescent="0.2">
      <c r="A29" s="738">
        <v>23</v>
      </c>
      <c r="B29" s="739" t="s">
        <v>153</v>
      </c>
      <c r="C29" s="740">
        <f>'7_Local Revenue'!AF29</f>
        <v>19220323</v>
      </c>
      <c r="D29" s="740">
        <f>'7_Local Revenue'!H29</f>
        <v>603540952</v>
      </c>
      <c r="E29" s="740">
        <f t="shared" si="1"/>
        <v>8641746</v>
      </c>
      <c r="F29" s="740">
        <f>'7_Local Revenue'!AK29</f>
        <v>26361116</v>
      </c>
      <c r="G29" s="740">
        <f>'7_Local Revenue'!AO29</f>
        <v>1318055800</v>
      </c>
      <c r="H29" s="740">
        <f t="shared" si="2"/>
        <v>9203878</v>
      </c>
      <c r="I29" s="740">
        <f>'7_Local Revenue'!AR29</f>
        <v>482886</v>
      </c>
      <c r="J29" s="741">
        <f t="shared" si="3"/>
        <v>18328510</v>
      </c>
    </row>
    <row r="30" spans="1:10" ht="16.899999999999999" customHeight="1" x14ac:dyDescent="0.2">
      <c r="A30" s="738">
        <v>24</v>
      </c>
      <c r="B30" s="739" t="s">
        <v>154</v>
      </c>
      <c r="C30" s="740">
        <f>'7_Local Revenue'!AF30</f>
        <v>40615553</v>
      </c>
      <c r="D30" s="740">
        <f>'7_Local Revenue'!H30</f>
        <v>654380408</v>
      </c>
      <c r="E30" s="740">
        <f t="shared" si="1"/>
        <v>9369686</v>
      </c>
      <c r="F30" s="740">
        <f>'7_Local Revenue'!AK30</f>
        <v>29103509</v>
      </c>
      <c r="G30" s="740">
        <f>'7_Local Revenue'!AO30</f>
        <v>1455175450</v>
      </c>
      <c r="H30" s="740">
        <f t="shared" si="2"/>
        <v>10161374</v>
      </c>
      <c r="I30" s="740">
        <f>'7_Local Revenue'!AR30</f>
        <v>136804</v>
      </c>
      <c r="J30" s="741">
        <f t="shared" si="3"/>
        <v>19667864</v>
      </c>
    </row>
    <row r="31" spans="1:10" ht="16.899999999999999" customHeight="1" x14ac:dyDescent="0.2">
      <c r="A31" s="742">
        <v>25</v>
      </c>
      <c r="B31" s="743" t="s">
        <v>155</v>
      </c>
      <c r="C31" s="744">
        <f>'7_Local Revenue'!AF31</f>
        <v>5192773</v>
      </c>
      <c r="D31" s="744">
        <f>'7_Local Revenue'!H31</f>
        <v>206650160</v>
      </c>
      <c r="E31" s="744">
        <f t="shared" si="1"/>
        <v>2958902</v>
      </c>
      <c r="F31" s="744">
        <f>'7_Local Revenue'!AK31</f>
        <v>5157087</v>
      </c>
      <c r="G31" s="744">
        <f>'7_Local Revenue'!AO31</f>
        <v>171902900</v>
      </c>
      <c r="H31" s="744">
        <f t="shared" si="2"/>
        <v>1200384</v>
      </c>
      <c r="I31" s="744">
        <f>'7_Local Revenue'!AR31</f>
        <v>86554</v>
      </c>
      <c r="J31" s="745">
        <f t="shared" si="3"/>
        <v>4245840</v>
      </c>
    </row>
    <row r="32" spans="1:10" ht="16.899999999999999" customHeight="1" x14ac:dyDescent="0.2">
      <c r="A32" s="734">
        <v>26</v>
      </c>
      <c r="B32" s="735" t="s">
        <v>156</v>
      </c>
      <c r="C32" s="736">
        <f>'7_Local Revenue'!AF32</f>
        <v>116415844</v>
      </c>
      <c r="D32" s="736">
        <f>'7_Local Revenue'!H32</f>
        <v>3828402592</v>
      </c>
      <c r="E32" s="736">
        <f t="shared" si="1"/>
        <v>54816634</v>
      </c>
      <c r="F32" s="736">
        <f>'7_Local Revenue'!AK32</f>
        <v>204854529</v>
      </c>
      <c r="G32" s="736">
        <f>'7_Local Revenue'!AO32</f>
        <v>10242726450</v>
      </c>
      <c r="H32" s="736">
        <f t="shared" si="2"/>
        <v>71524139</v>
      </c>
      <c r="I32" s="736">
        <f>'7_Local Revenue'!AR32</f>
        <v>1826924</v>
      </c>
      <c r="J32" s="737">
        <f t="shared" si="3"/>
        <v>128167697</v>
      </c>
    </row>
    <row r="33" spans="1:10" ht="16.899999999999999" customHeight="1" x14ac:dyDescent="0.2">
      <c r="A33" s="738">
        <v>27</v>
      </c>
      <c r="B33" s="739" t="s">
        <v>157</v>
      </c>
      <c r="C33" s="740">
        <f>'7_Local Revenue'!AF33</f>
        <v>8591212</v>
      </c>
      <c r="D33" s="740">
        <f>'7_Local Revenue'!H33</f>
        <v>235455139</v>
      </c>
      <c r="E33" s="740">
        <f t="shared" si="1"/>
        <v>3371343</v>
      </c>
      <c r="F33" s="740">
        <f>'7_Local Revenue'!AK33</f>
        <v>11883984</v>
      </c>
      <c r="G33" s="740">
        <f>'7_Local Revenue'!AO33</f>
        <v>475359360</v>
      </c>
      <c r="H33" s="740">
        <f t="shared" si="2"/>
        <v>3319396</v>
      </c>
      <c r="I33" s="740">
        <f>'7_Local Revenue'!AR33</f>
        <v>319587</v>
      </c>
      <c r="J33" s="741">
        <f t="shared" si="3"/>
        <v>7010326</v>
      </c>
    </row>
    <row r="34" spans="1:10" ht="16.899999999999999" customHeight="1" x14ac:dyDescent="0.2">
      <c r="A34" s="738">
        <v>28</v>
      </c>
      <c r="B34" s="739" t="s">
        <v>158</v>
      </c>
      <c r="C34" s="740">
        <f>'7_Local Revenue'!AF34</f>
        <v>75557810</v>
      </c>
      <c r="D34" s="740">
        <f>'7_Local Revenue'!H34</f>
        <v>2349992652</v>
      </c>
      <c r="E34" s="740">
        <f t="shared" si="1"/>
        <v>33648156</v>
      </c>
      <c r="F34" s="740">
        <f>'7_Local Revenue'!AK34</f>
        <v>115313892</v>
      </c>
      <c r="G34" s="740">
        <f>'7_Local Revenue'!AO34</f>
        <v>5765694600</v>
      </c>
      <c r="H34" s="740">
        <f t="shared" si="2"/>
        <v>40261384</v>
      </c>
      <c r="I34" s="740">
        <f>'7_Local Revenue'!AR34</f>
        <v>2423775</v>
      </c>
      <c r="J34" s="741">
        <f t="shared" si="3"/>
        <v>76333315</v>
      </c>
    </row>
    <row r="35" spans="1:10" ht="16.899999999999999" customHeight="1" x14ac:dyDescent="0.2">
      <c r="A35" s="738">
        <v>29</v>
      </c>
      <c r="B35" s="739" t="s">
        <v>159</v>
      </c>
      <c r="C35" s="740">
        <f>'7_Local Revenue'!AF35</f>
        <v>40735708</v>
      </c>
      <c r="D35" s="740">
        <f>'7_Local Revenue'!H35</f>
        <v>967189029</v>
      </c>
      <c r="E35" s="740">
        <f t="shared" si="1"/>
        <v>13848608</v>
      </c>
      <c r="F35" s="740">
        <f>'7_Local Revenue'!AK35</f>
        <v>31584714</v>
      </c>
      <c r="G35" s="740">
        <f>'7_Local Revenue'!AO35</f>
        <v>1579235700</v>
      </c>
      <c r="H35" s="740">
        <f t="shared" si="2"/>
        <v>11027677</v>
      </c>
      <c r="I35" s="740">
        <f>'7_Local Revenue'!AR35</f>
        <v>465849</v>
      </c>
      <c r="J35" s="741">
        <f t="shared" si="3"/>
        <v>25342134</v>
      </c>
    </row>
    <row r="36" spans="1:10" ht="16.899999999999999" customHeight="1" x14ac:dyDescent="0.2">
      <c r="A36" s="742">
        <v>30</v>
      </c>
      <c r="B36" s="743" t="s">
        <v>160</v>
      </c>
      <c r="C36" s="744">
        <f>'7_Local Revenue'!AF36</f>
        <v>3777188</v>
      </c>
      <c r="D36" s="744">
        <f>'7_Local Revenue'!H36</f>
        <v>86553090</v>
      </c>
      <c r="E36" s="744">
        <f t="shared" si="1"/>
        <v>1239303</v>
      </c>
      <c r="F36" s="744">
        <f>'7_Local Revenue'!AK36</f>
        <v>7834339</v>
      </c>
      <c r="G36" s="744">
        <f>'7_Local Revenue'!AO36</f>
        <v>261144633</v>
      </c>
      <c r="H36" s="744">
        <f t="shared" si="2"/>
        <v>1823552</v>
      </c>
      <c r="I36" s="744">
        <f>'7_Local Revenue'!AR36</f>
        <v>74770</v>
      </c>
      <c r="J36" s="745">
        <f t="shared" si="3"/>
        <v>3137625</v>
      </c>
    </row>
    <row r="37" spans="1:10" ht="16.899999999999999" customHeight="1" x14ac:dyDescent="0.2">
      <c r="A37" s="734">
        <v>31</v>
      </c>
      <c r="B37" s="735" t="s">
        <v>161</v>
      </c>
      <c r="C37" s="736">
        <f>'7_Local Revenue'!AF37</f>
        <v>20540965</v>
      </c>
      <c r="D37" s="736">
        <f>'7_Local Revenue'!H37</f>
        <v>476000781</v>
      </c>
      <c r="E37" s="736">
        <f t="shared" si="1"/>
        <v>6815574</v>
      </c>
      <c r="F37" s="736">
        <f>'7_Local Revenue'!AK37</f>
        <v>17711354</v>
      </c>
      <c r="G37" s="736">
        <f>'7_Local Revenue'!AO37</f>
        <v>885567700</v>
      </c>
      <c r="H37" s="736">
        <f t="shared" si="2"/>
        <v>6183848</v>
      </c>
      <c r="I37" s="736">
        <f>'7_Local Revenue'!AR37</f>
        <v>342036</v>
      </c>
      <c r="J37" s="737">
        <f t="shared" si="3"/>
        <v>13341458</v>
      </c>
    </row>
    <row r="38" spans="1:10" ht="16.899999999999999" customHeight="1" x14ac:dyDescent="0.2">
      <c r="A38" s="738">
        <v>32</v>
      </c>
      <c r="B38" s="739" t="s">
        <v>162</v>
      </c>
      <c r="C38" s="740">
        <f>'7_Local Revenue'!AF38</f>
        <v>18605797</v>
      </c>
      <c r="D38" s="740">
        <f>'7_Local Revenue'!H38</f>
        <v>571266515</v>
      </c>
      <c r="E38" s="740">
        <f t="shared" si="1"/>
        <v>8179628</v>
      </c>
      <c r="F38" s="740">
        <f>'7_Local Revenue'!AK38</f>
        <v>55382711</v>
      </c>
      <c r="G38" s="740">
        <f>'7_Local Revenue'!AO38</f>
        <v>2215308440</v>
      </c>
      <c r="H38" s="740">
        <f t="shared" si="2"/>
        <v>15469322</v>
      </c>
      <c r="I38" s="740">
        <f>'7_Local Revenue'!AR38</f>
        <v>985963</v>
      </c>
      <c r="J38" s="741">
        <f t="shared" si="3"/>
        <v>24634913</v>
      </c>
    </row>
    <row r="39" spans="1:10" ht="16.899999999999999" customHeight="1" x14ac:dyDescent="0.2">
      <c r="A39" s="738">
        <v>33</v>
      </c>
      <c r="B39" s="739" t="s">
        <v>163</v>
      </c>
      <c r="C39" s="740">
        <f>'7_Local Revenue'!AF39</f>
        <v>2369661</v>
      </c>
      <c r="D39" s="740">
        <f>'7_Local Revenue'!H39</f>
        <v>107315252</v>
      </c>
      <c r="E39" s="740">
        <f t="shared" si="1"/>
        <v>1536584</v>
      </c>
      <c r="F39" s="740">
        <f>'7_Local Revenue'!AK39</f>
        <v>3740037</v>
      </c>
      <c r="G39" s="740">
        <f>'7_Local Revenue'!AO39</f>
        <v>149601480</v>
      </c>
      <c r="H39" s="740">
        <f t="shared" si="2"/>
        <v>1044655</v>
      </c>
      <c r="I39" s="740">
        <f>'7_Local Revenue'!AR39</f>
        <v>92064</v>
      </c>
      <c r="J39" s="741">
        <f t="shared" si="3"/>
        <v>2673303</v>
      </c>
    </row>
    <row r="40" spans="1:10" ht="16.899999999999999" customHeight="1" x14ac:dyDescent="0.2">
      <c r="A40" s="738">
        <v>34</v>
      </c>
      <c r="B40" s="739" t="s">
        <v>164</v>
      </c>
      <c r="C40" s="740">
        <f>'7_Local Revenue'!AF40</f>
        <v>5673889</v>
      </c>
      <c r="D40" s="740">
        <f>'7_Local Revenue'!H40</f>
        <v>149493333</v>
      </c>
      <c r="E40" s="740">
        <f t="shared" si="1"/>
        <v>2140507</v>
      </c>
      <c r="F40" s="740">
        <f>'7_Local Revenue'!AK40</f>
        <v>6911687</v>
      </c>
      <c r="G40" s="740">
        <f>'7_Local Revenue'!AO40</f>
        <v>344409705</v>
      </c>
      <c r="H40" s="740">
        <f t="shared" si="2"/>
        <v>2404985</v>
      </c>
      <c r="I40" s="740">
        <f>'7_Local Revenue'!AR40</f>
        <v>197757</v>
      </c>
      <c r="J40" s="741">
        <f>E40+H40+I40</f>
        <v>4743249</v>
      </c>
    </row>
    <row r="41" spans="1:10" ht="16.899999999999999" customHeight="1" x14ac:dyDescent="0.2">
      <c r="A41" s="742">
        <v>35</v>
      </c>
      <c r="B41" s="743" t="s">
        <v>165</v>
      </c>
      <c r="C41" s="744">
        <f>'7_Local Revenue'!AF41</f>
        <v>10061049</v>
      </c>
      <c r="D41" s="744">
        <f>'7_Local Revenue'!H41</f>
        <v>359075523</v>
      </c>
      <c r="E41" s="744">
        <f t="shared" si="1"/>
        <v>5141390</v>
      </c>
      <c r="F41" s="744">
        <f>'7_Local Revenue'!AK41</f>
        <v>16724606</v>
      </c>
      <c r="G41" s="744">
        <f>'7_Local Revenue'!AO41</f>
        <v>668984240</v>
      </c>
      <c r="H41" s="744">
        <f t="shared" si="2"/>
        <v>4671463</v>
      </c>
      <c r="I41" s="744">
        <f>'7_Local Revenue'!AR41</f>
        <v>384232</v>
      </c>
      <c r="J41" s="745">
        <f t="shared" si="3"/>
        <v>10197085</v>
      </c>
    </row>
    <row r="42" spans="1:10" s="404" customFormat="1" ht="16.899999999999999" customHeight="1" x14ac:dyDescent="0.2">
      <c r="A42" s="734">
        <v>36</v>
      </c>
      <c r="B42" s="735" t="s">
        <v>166</v>
      </c>
      <c r="C42" s="736">
        <f>'7_Local Revenue'!AF42</f>
        <v>189200388</v>
      </c>
      <c r="D42" s="736">
        <f>'7_Local Revenue'!H42</f>
        <v>4255528387.0000005</v>
      </c>
      <c r="E42" s="736">
        <f t="shared" si="1"/>
        <v>60932396</v>
      </c>
      <c r="F42" s="736">
        <f>'7_Local Revenue'!AK42</f>
        <v>129111161</v>
      </c>
      <c r="G42" s="736">
        <f>'7_Local Revenue'!AO42</f>
        <v>8607410733</v>
      </c>
      <c r="H42" s="736">
        <f t="shared" si="2"/>
        <v>60104861</v>
      </c>
      <c r="I42" s="736">
        <f>'7_Local Revenue'!AR42</f>
        <v>2654880</v>
      </c>
      <c r="J42" s="737">
        <f t="shared" si="3"/>
        <v>123692137</v>
      </c>
    </row>
    <row r="43" spans="1:10" s="404" customFormat="1" ht="16.899999999999999" customHeight="1" x14ac:dyDescent="0.2">
      <c r="A43" s="738">
        <v>37</v>
      </c>
      <c r="B43" s="739" t="s">
        <v>167</v>
      </c>
      <c r="C43" s="740">
        <f>'7_Local Revenue'!AF43</f>
        <v>31511335</v>
      </c>
      <c r="D43" s="740">
        <f>'7_Local Revenue'!H43</f>
        <v>741243755</v>
      </c>
      <c r="E43" s="740">
        <f t="shared" si="1"/>
        <v>10613431</v>
      </c>
      <c r="F43" s="740">
        <f>'7_Local Revenue'!AK43</f>
        <v>47447638</v>
      </c>
      <c r="G43" s="740">
        <f>'7_Local Revenue'!AO43</f>
        <v>1581587933</v>
      </c>
      <c r="H43" s="740">
        <f t="shared" si="2"/>
        <v>11044102</v>
      </c>
      <c r="I43" s="740">
        <f>'7_Local Revenue'!AR43</f>
        <v>808498</v>
      </c>
      <c r="J43" s="741">
        <f t="shared" si="3"/>
        <v>22466031</v>
      </c>
    </row>
    <row r="44" spans="1:10" s="404" customFormat="1" ht="16.899999999999999" customHeight="1" x14ac:dyDescent="0.2">
      <c r="A44" s="738">
        <v>38</v>
      </c>
      <c r="B44" s="739" t="s">
        <v>168</v>
      </c>
      <c r="C44" s="740">
        <f>'7_Local Revenue'!AF44</f>
        <v>25805641</v>
      </c>
      <c r="D44" s="740">
        <f>'7_Local Revenue'!H44</f>
        <v>993528253</v>
      </c>
      <c r="E44" s="740">
        <f t="shared" si="1"/>
        <v>14225744</v>
      </c>
      <c r="F44" s="740">
        <f>'7_Local Revenue'!AK44</f>
        <v>16975011</v>
      </c>
      <c r="G44" s="740">
        <f>'7_Local Revenue'!AO44</f>
        <v>679000440</v>
      </c>
      <c r="H44" s="740">
        <f t="shared" si="2"/>
        <v>4741406</v>
      </c>
      <c r="I44" s="740">
        <f>'7_Local Revenue'!AR44</f>
        <v>100306</v>
      </c>
      <c r="J44" s="741">
        <f t="shared" si="3"/>
        <v>19067456</v>
      </c>
    </row>
    <row r="45" spans="1:10" s="404" customFormat="1" ht="16.899999999999999" customHeight="1" x14ac:dyDescent="0.2">
      <c r="A45" s="738">
        <v>39</v>
      </c>
      <c r="B45" s="739" t="s">
        <v>169</v>
      </c>
      <c r="C45" s="740">
        <f>'7_Local Revenue'!AF45</f>
        <v>7790130</v>
      </c>
      <c r="D45" s="740">
        <f>'7_Local Revenue'!H45</f>
        <v>474224998</v>
      </c>
      <c r="E45" s="740">
        <f t="shared" si="1"/>
        <v>6790147</v>
      </c>
      <c r="F45" s="740">
        <f>'7_Local Revenue'!AK45</f>
        <v>7349527</v>
      </c>
      <c r="G45" s="740">
        <f>'7_Local Revenue'!AO45</f>
        <v>367476350</v>
      </c>
      <c r="H45" s="740">
        <f t="shared" si="2"/>
        <v>2566058</v>
      </c>
      <c r="I45" s="740">
        <f>'7_Local Revenue'!AR45</f>
        <v>149851</v>
      </c>
      <c r="J45" s="741">
        <f t="shared" si="3"/>
        <v>9506056</v>
      </c>
    </row>
    <row r="46" spans="1:10" s="404" customFormat="1" ht="16.899999999999999" customHeight="1" x14ac:dyDescent="0.2">
      <c r="A46" s="742">
        <v>40</v>
      </c>
      <c r="B46" s="743" t="s">
        <v>170</v>
      </c>
      <c r="C46" s="744">
        <f>'7_Local Revenue'!AF46</f>
        <v>37328132</v>
      </c>
      <c r="D46" s="744">
        <f>'7_Local Revenue'!H46</f>
        <v>851375105</v>
      </c>
      <c r="E46" s="744">
        <f t="shared" si="1"/>
        <v>12190337</v>
      </c>
      <c r="F46" s="744">
        <f>'7_Local Revenue'!AK46</f>
        <v>54489916</v>
      </c>
      <c r="G46" s="744">
        <f>'7_Local Revenue'!AO46</f>
        <v>2724495800</v>
      </c>
      <c r="H46" s="744">
        <f t="shared" si="2"/>
        <v>19024936</v>
      </c>
      <c r="I46" s="744">
        <f>'7_Local Revenue'!AR46</f>
        <v>1021524</v>
      </c>
      <c r="J46" s="745">
        <f t="shared" si="3"/>
        <v>32236797</v>
      </c>
    </row>
    <row r="47" spans="1:10" s="404" customFormat="1" ht="16.899999999999999" customHeight="1" x14ac:dyDescent="0.2">
      <c r="A47" s="734">
        <v>41</v>
      </c>
      <c r="B47" s="735" t="s">
        <v>171</v>
      </c>
      <c r="C47" s="736">
        <f>'7_Local Revenue'!AF47</f>
        <v>12053990</v>
      </c>
      <c r="D47" s="736">
        <f>'7_Local Revenue'!H47</f>
        <v>228885540</v>
      </c>
      <c r="E47" s="736">
        <f t="shared" si="1"/>
        <v>3277277</v>
      </c>
      <c r="F47" s="736">
        <f>'7_Local Revenue'!AK47</f>
        <v>4581902</v>
      </c>
      <c r="G47" s="736">
        <f>'7_Local Revenue'!AO47</f>
        <v>229095100</v>
      </c>
      <c r="H47" s="736">
        <f t="shared" si="2"/>
        <v>1599753</v>
      </c>
      <c r="I47" s="736">
        <f>'7_Local Revenue'!AR47</f>
        <v>74641</v>
      </c>
      <c r="J47" s="737">
        <f t="shared" si="3"/>
        <v>4951671</v>
      </c>
    </row>
    <row r="48" spans="1:10" s="404" customFormat="1" ht="16.899999999999999" customHeight="1" x14ac:dyDescent="0.2">
      <c r="A48" s="738">
        <v>42</v>
      </c>
      <c r="B48" s="739" t="s">
        <v>172</v>
      </c>
      <c r="C48" s="740">
        <f>'7_Local Revenue'!AF48</f>
        <v>6786857</v>
      </c>
      <c r="D48" s="740">
        <f>'7_Local Revenue'!H48</f>
        <v>212402523</v>
      </c>
      <c r="E48" s="740">
        <f t="shared" si="1"/>
        <v>3041266</v>
      </c>
      <c r="F48" s="740">
        <f>'7_Local Revenue'!AK48</f>
        <v>6359745</v>
      </c>
      <c r="G48" s="740">
        <f>'7_Local Revenue'!AO48</f>
        <v>317987250</v>
      </c>
      <c r="H48" s="740">
        <f t="shared" si="2"/>
        <v>2220480</v>
      </c>
      <c r="I48" s="740">
        <f>'7_Local Revenue'!AR48</f>
        <v>211432</v>
      </c>
      <c r="J48" s="741">
        <f t="shared" si="3"/>
        <v>5473178</v>
      </c>
    </row>
    <row r="49" spans="1:10" s="404" customFormat="1" ht="16.899999999999999" customHeight="1" x14ac:dyDescent="0.2">
      <c r="A49" s="738">
        <v>43</v>
      </c>
      <c r="B49" s="739" t="s">
        <v>173</v>
      </c>
      <c r="C49" s="740">
        <f>'7_Local Revenue'!AF49</f>
        <v>6443335</v>
      </c>
      <c r="D49" s="740">
        <f>'7_Local Revenue'!H49</f>
        <v>198031045.30000001</v>
      </c>
      <c r="E49" s="740">
        <f t="shared" si="1"/>
        <v>2835490</v>
      </c>
      <c r="F49" s="740">
        <f>'7_Local Revenue'!AK49</f>
        <v>13526587</v>
      </c>
      <c r="G49" s="740">
        <f>'7_Local Revenue'!AO49</f>
        <v>521115783.99999994</v>
      </c>
      <c r="H49" s="740">
        <f t="shared" si="2"/>
        <v>3638910</v>
      </c>
      <c r="I49" s="740">
        <f>'7_Local Revenue'!AR49</f>
        <v>157920</v>
      </c>
      <c r="J49" s="741">
        <f t="shared" si="3"/>
        <v>6632320</v>
      </c>
    </row>
    <row r="50" spans="1:10" s="404" customFormat="1" ht="16.899999999999999" customHeight="1" x14ac:dyDescent="0.2">
      <c r="A50" s="738">
        <v>44</v>
      </c>
      <c r="B50" s="739" t="s">
        <v>174</v>
      </c>
      <c r="C50" s="740">
        <f>'7_Local Revenue'!AF50</f>
        <v>16984299</v>
      </c>
      <c r="D50" s="740">
        <f>'7_Local Revenue'!H50</f>
        <v>381936495.60000002</v>
      </c>
      <c r="E50" s="740">
        <f t="shared" si="1"/>
        <v>5468723</v>
      </c>
      <c r="F50" s="740">
        <f>'7_Local Revenue'!AK50</f>
        <v>15942894</v>
      </c>
      <c r="G50" s="740">
        <f>'7_Local Revenue'!AO50</f>
        <v>797144700</v>
      </c>
      <c r="H50" s="740">
        <f t="shared" si="2"/>
        <v>5566398</v>
      </c>
      <c r="I50" s="740">
        <f>'7_Local Revenue'!AR50</f>
        <v>72527</v>
      </c>
      <c r="J50" s="741">
        <f t="shared" si="3"/>
        <v>11107648</v>
      </c>
    </row>
    <row r="51" spans="1:10" ht="16.899999999999999" customHeight="1" x14ac:dyDescent="0.2">
      <c r="A51" s="742">
        <v>45</v>
      </c>
      <c r="B51" s="743" t="s">
        <v>175</v>
      </c>
      <c r="C51" s="744">
        <f>'7_Local Revenue'!AF51</f>
        <v>85469601</v>
      </c>
      <c r="D51" s="744">
        <f>'7_Local Revenue'!H51</f>
        <v>1567215581.8000002</v>
      </c>
      <c r="E51" s="744">
        <f t="shared" si="1"/>
        <v>22440034</v>
      </c>
      <c r="F51" s="744">
        <f>'7_Local Revenue'!AK51</f>
        <v>55004198</v>
      </c>
      <c r="G51" s="744">
        <f>'7_Local Revenue'!AO51</f>
        <v>1833473267</v>
      </c>
      <c r="H51" s="744">
        <f t="shared" si="2"/>
        <v>12802997</v>
      </c>
      <c r="I51" s="744">
        <f>'7_Local Revenue'!AR51</f>
        <v>262436</v>
      </c>
      <c r="J51" s="745">
        <f t="shared" si="3"/>
        <v>35505467</v>
      </c>
    </row>
    <row r="52" spans="1:10" ht="16.899999999999999" customHeight="1" x14ac:dyDescent="0.2">
      <c r="A52" s="734">
        <v>46</v>
      </c>
      <c r="B52" s="735" t="s">
        <v>176</v>
      </c>
      <c r="C52" s="736">
        <f>'7_Local Revenue'!AF52</f>
        <v>2060658</v>
      </c>
      <c r="D52" s="736">
        <f>'7_Local Revenue'!H52</f>
        <v>47582253</v>
      </c>
      <c r="E52" s="736">
        <f t="shared" si="1"/>
        <v>681302</v>
      </c>
      <c r="F52" s="736">
        <f>'7_Local Revenue'!AK52</f>
        <v>1618375</v>
      </c>
      <c r="G52" s="736">
        <f>'7_Local Revenue'!AO52</f>
        <v>80918750</v>
      </c>
      <c r="H52" s="736">
        <f t="shared" si="2"/>
        <v>565049</v>
      </c>
      <c r="I52" s="736">
        <f>'7_Local Revenue'!AR52</f>
        <v>31085</v>
      </c>
      <c r="J52" s="737">
        <f t="shared" si="3"/>
        <v>1277436</v>
      </c>
    </row>
    <row r="53" spans="1:10" ht="16.899999999999999" customHeight="1" x14ac:dyDescent="0.2">
      <c r="A53" s="738">
        <v>47</v>
      </c>
      <c r="B53" s="739" t="s">
        <v>177</v>
      </c>
      <c r="C53" s="740">
        <f>'7_Local Revenue'!AF53</f>
        <v>29873411</v>
      </c>
      <c r="D53" s="740">
        <f>'7_Local Revenue'!H53</f>
        <v>656930551</v>
      </c>
      <c r="E53" s="740">
        <f t="shared" si="1"/>
        <v>9406200</v>
      </c>
      <c r="F53" s="740">
        <f>'7_Local Revenue'!AK53</f>
        <v>24051610</v>
      </c>
      <c r="G53" s="740">
        <f>'7_Local Revenue'!AO53</f>
        <v>962064400</v>
      </c>
      <c r="H53" s="740">
        <f t="shared" si="2"/>
        <v>6718019</v>
      </c>
      <c r="I53" s="740">
        <f>'7_Local Revenue'!AR53</f>
        <v>80898</v>
      </c>
      <c r="J53" s="741">
        <f t="shared" si="3"/>
        <v>16205117</v>
      </c>
    </row>
    <row r="54" spans="1:10" ht="16.899999999999999" customHeight="1" x14ac:dyDescent="0.2">
      <c r="A54" s="738">
        <v>48</v>
      </c>
      <c r="B54" s="739" t="s">
        <v>178</v>
      </c>
      <c r="C54" s="740">
        <f>'7_Local Revenue'!AF54</f>
        <v>18178725</v>
      </c>
      <c r="D54" s="740">
        <f>'7_Local Revenue'!H54</f>
        <v>454640068</v>
      </c>
      <c r="E54" s="740">
        <f t="shared" si="1"/>
        <v>6509722</v>
      </c>
      <c r="F54" s="740">
        <f>'7_Local Revenue'!AK54</f>
        <v>30140604</v>
      </c>
      <c r="G54" s="740">
        <f>'7_Local Revenue'!AO54</f>
        <v>1191621628</v>
      </c>
      <c r="H54" s="740">
        <f t="shared" si="2"/>
        <v>8320998</v>
      </c>
      <c r="I54" s="740">
        <f>'7_Local Revenue'!AR54</f>
        <v>60317</v>
      </c>
      <c r="J54" s="741">
        <f t="shared" si="3"/>
        <v>14891037</v>
      </c>
    </row>
    <row r="55" spans="1:10" ht="16.899999999999999" customHeight="1" x14ac:dyDescent="0.2">
      <c r="A55" s="738">
        <v>49</v>
      </c>
      <c r="B55" s="739" t="s">
        <v>179</v>
      </c>
      <c r="C55" s="740">
        <f>'7_Local Revenue'!AF55</f>
        <v>13366726</v>
      </c>
      <c r="D55" s="740">
        <f>'7_Local Revenue'!H55</f>
        <v>671321842</v>
      </c>
      <c r="E55" s="740">
        <f t="shared" si="1"/>
        <v>9612261</v>
      </c>
      <c r="F55" s="740">
        <f>'7_Local Revenue'!AK55</f>
        <v>24656640</v>
      </c>
      <c r="G55" s="740">
        <f>'7_Local Revenue'!AO55</f>
        <v>1232832000</v>
      </c>
      <c r="H55" s="740">
        <f t="shared" si="2"/>
        <v>8608767</v>
      </c>
      <c r="I55" s="740">
        <f>'7_Local Revenue'!AR55</f>
        <v>592395</v>
      </c>
      <c r="J55" s="741">
        <f t="shared" si="3"/>
        <v>18813423</v>
      </c>
    </row>
    <row r="56" spans="1:10" ht="16.899999999999999" customHeight="1" x14ac:dyDescent="0.2">
      <c r="A56" s="742">
        <v>50</v>
      </c>
      <c r="B56" s="743" t="s">
        <v>180</v>
      </c>
      <c r="C56" s="744">
        <f>'7_Local Revenue'!AF56</f>
        <v>13111820</v>
      </c>
      <c r="D56" s="744">
        <f>'7_Local Revenue'!H56</f>
        <v>395771578</v>
      </c>
      <c r="E56" s="744">
        <f t="shared" si="1"/>
        <v>5666819</v>
      </c>
      <c r="F56" s="744">
        <f>'7_Local Revenue'!AK56</f>
        <v>15187953</v>
      </c>
      <c r="G56" s="744">
        <f>'7_Local Revenue'!AO56</f>
        <v>759397650</v>
      </c>
      <c r="H56" s="744">
        <f t="shared" si="2"/>
        <v>5302813</v>
      </c>
      <c r="I56" s="744">
        <f>'7_Local Revenue'!AR56</f>
        <v>300487</v>
      </c>
      <c r="J56" s="745">
        <f t="shared" si="3"/>
        <v>11270119</v>
      </c>
    </row>
    <row r="57" spans="1:10" ht="16.899999999999999" customHeight="1" x14ac:dyDescent="0.2">
      <c r="A57" s="734">
        <v>51</v>
      </c>
      <c r="B57" s="735" t="s">
        <v>181</v>
      </c>
      <c r="C57" s="736">
        <f>'7_Local Revenue'!AF57</f>
        <v>21924283</v>
      </c>
      <c r="D57" s="736">
        <f>'7_Local Revenue'!H57</f>
        <v>598584864</v>
      </c>
      <c r="E57" s="736">
        <f t="shared" si="1"/>
        <v>8570783</v>
      </c>
      <c r="F57" s="736">
        <f>'7_Local Revenue'!AK57</f>
        <v>16039076</v>
      </c>
      <c r="G57" s="736">
        <f>'7_Local Revenue'!AO57</f>
        <v>916518629</v>
      </c>
      <c r="H57" s="736">
        <f t="shared" si="2"/>
        <v>6399976</v>
      </c>
      <c r="I57" s="736">
        <f>'7_Local Revenue'!AR57</f>
        <v>447652</v>
      </c>
      <c r="J57" s="737">
        <f t="shared" si="3"/>
        <v>15418411</v>
      </c>
    </row>
    <row r="58" spans="1:10" ht="16.899999999999999" customHeight="1" x14ac:dyDescent="0.2">
      <c r="A58" s="738">
        <v>52</v>
      </c>
      <c r="B58" s="739" t="s">
        <v>182</v>
      </c>
      <c r="C58" s="740">
        <f>'7_Local Revenue'!AF58</f>
        <v>136424463</v>
      </c>
      <c r="D58" s="740">
        <f>'7_Local Revenue'!H58</f>
        <v>2136285314</v>
      </c>
      <c r="E58" s="740">
        <f t="shared" si="1"/>
        <v>30588207</v>
      </c>
      <c r="F58" s="740">
        <f>'7_Local Revenue'!AK58</f>
        <v>105638734</v>
      </c>
      <c r="G58" s="740">
        <f>'7_Local Revenue'!AO58</f>
        <v>5281936700</v>
      </c>
      <c r="H58" s="740">
        <f t="shared" si="2"/>
        <v>36883341</v>
      </c>
      <c r="I58" s="740">
        <f>'7_Local Revenue'!AR58</f>
        <v>2092862</v>
      </c>
      <c r="J58" s="741">
        <f t="shared" si="3"/>
        <v>69564410</v>
      </c>
    </row>
    <row r="59" spans="1:10" ht="16.899999999999999" customHeight="1" x14ac:dyDescent="0.2">
      <c r="A59" s="738">
        <v>53</v>
      </c>
      <c r="B59" s="739" t="s">
        <v>183</v>
      </c>
      <c r="C59" s="740">
        <f>'7_Local Revenue'!AF59</f>
        <v>7474026</v>
      </c>
      <c r="D59" s="740">
        <f>'7_Local Revenue'!H59</f>
        <v>601365522</v>
      </c>
      <c r="E59" s="740">
        <f t="shared" si="1"/>
        <v>8610598</v>
      </c>
      <c r="F59" s="740">
        <f>'7_Local Revenue'!AK59</f>
        <v>47372783</v>
      </c>
      <c r="G59" s="740">
        <f>'7_Local Revenue'!AO59</f>
        <v>2368639150</v>
      </c>
      <c r="H59" s="740">
        <f t="shared" si="2"/>
        <v>16540018</v>
      </c>
      <c r="I59" s="740">
        <f>'7_Local Revenue'!AR59</f>
        <v>157302</v>
      </c>
      <c r="J59" s="741">
        <f t="shared" si="3"/>
        <v>25307918</v>
      </c>
    </row>
    <row r="60" spans="1:10" ht="16.899999999999999" customHeight="1" x14ac:dyDescent="0.2">
      <c r="A60" s="738">
        <v>54</v>
      </c>
      <c r="B60" s="739" t="s">
        <v>184</v>
      </c>
      <c r="C60" s="740">
        <f>'7_Local Revenue'!AF60</f>
        <v>2097932</v>
      </c>
      <c r="D60" s="740">
        <f>'7_Local Revenue'!H60</f>
        <v>56209890</v>
      </c>
      <c r="E60" s="740">
        <f t="shared" si="1"/>
        <v>804836</v>
      </c>
      <c r="F60" s="740">
        <f>'7_Local Revenue'!AK60</f>
        <v>740214</v>
      </c>
      <c r="G60" s="740">
        <f>'7_Local Revenue'!AO60</f>
        <v>49347600</v>
      </c>
      <c r="H60" s="740">
        <f t="shared" si="2"/>
        <v>344590</v>
      </c>
      <c r="I60" s="740">
        <f>'7_Local Revenue'!AR60</f>
        <v>28163</v>
      </c>
      <c r="J60" s="741">
        <f t="shared" si="3"/>
        <v>1177589</v>
      </c>
    </row>
    <row r="61" spans="1:10" ht="16.899999999999999" customHeight="1" x14ac:dyDescent="0.2">
      <c r="A61" s="742">
        <v>55</v>
      </c>
      <c r="B61" s="743" t="s">
        <v>185</v>
      </c>
      <c r="C61" s="744">
        <f>'7_Local Revenue'!AF61</f>
        <v>9190226</v>
      </c>
      <c r="D61" s="744">
        <f>'7_Local Revenue'!H61</f>
        <v>1007034509</v>
      </c>
      <c r="E61" s="744">
        <f t="shared" si="1"/>
        <v>14419132</v>
      </c>
      <c r="F61" s="744">
        <f>'7_Local Revenue'!AK61</f>
        <v>58128417</v>
      </c>
      <c r="G61" s="744">
        <f>'7_Local Revenue'!AO61</f>
        <v>2253039419</v>
      </c>
      <c r="H61" s="744">
        <f t="shared" si="2"/>
        <v>15732794</v>
      </c>
      <c r="I61" s="744">
        <f>'7_Local Revenue'!AR61</f>
        <v>319118</v>
      </c>
      <c r="J61" s="745">
        <f t="shared" si="3"/>
        <v>30471044</v>
      </c>
    </row>
    <row r="62" spans="1:10" ht="16.899999999999999" customHeight="1" x14ac:dyDescent="0.2">
      <c r="A62" s="734">
        <v>56</v>
      </c>
      <c r="B62" s="735" t="s">
        <v>186</v>
      </c>
      <c r="C62" s="736">
        <f>'7_Local Revenue'!AF62</f>
        <v>5524413</v>
      </c>
      <c r="D62" s="736">
        <f>'7_Local Revenue'!H62</f>
        <v>154964105</v>
      </c>
      <c r="E62" s="736">
        <f t="shared" si="1"/>
        <v>2218839</v>
      </c>
      <c r="F62" s="736">
        <f>'7_Local Revenue'!AK62</f>
        <v>7511408</v>
      </c>
      <c r="G62" s="736">
        <f>'7_Local Revenue'!AO62</f>
        <v>250380267</v>
      </c>
      <c r="H62" s="736">
        <f t="shared" si="2"/>
        <v>1748385</v>
      </c>
      <c r="I62" s="736">
        <f>'7_Local Revenue'!AR62</f>
        <v>101969</v>
      </c>
      <c r="J62" s="737">
        <f t="shared" si="3"/>
        <v>4069193</v>
      </c>
    </row>
    <row r="63" spans="1:10" ht="16.899999999999999" customHeight="1" x14ac:dyDescent="0.2">
      <c r="A63" s="738">
        <v>57</v>
      </c>
      <c r="B63" s="739" t="s">
        <v>187</v>
      </c>
      <c r="C63" s="740">
        <f>'7_Local Revenue'!AF63</f>
        <v>11797632</v>
      </c>
      <c r="D63" s="740">
        <f>'7_Local Revenue'!H63</f>
        <v>309285779</v>
      </c>
      <c r="E63" s="740">
        <f t="shared" si="1"/>
        <v>4428480</v>
      </c>
      <c r="F63" s="740">
        <f>'7_Local Revenue'!AK63</f>
        <v>11585382</v>
      </c>
      <c r="G63" s="740">
        <f>'7_Local Revenue'!AO63</f>
        <v>772358800</v>
      </c>
      <c r="H63" s="740">
        <f t="shared" si="2"/>
        <v>5393320</v>
      </c>
      <c r="I63" s="740">
        <f>'7_Local Revenue'!AR63</f>
        <v>1043134</v>
      </c>
      <c r="J63" s="741">
        <f t="shared" si="3"/>
        <v>10864934</v>
      </c>
    </row>
    <row r="64" spans="1:10" ht="16.899999999999999" customHeight="1" x14ac:dyDescent="0.2">
      <c r="A64" s="738">
        <v>58</v>
      </c>
      <c r="B64" s="739" t="s">
        <v>188</v>
      </c>
      <c r="C64" s="740">
        <f>'7_Local Revenue'!AF64</f>
        <v>7942051</v>
      </c>
      <c r="D64" s="740">
        <f>'7_Local Revenue'!H64</f>
        <v>146049458</v>
      </c>
      <c r="E64" s="740">
        <f t="shared" si="1"/>
        <v>2091196</v>
      </c>
      <c r="F64" s="740">
        <f>'7_Local Revenue'!AK64</f>
        <v>13349785</v>
      </c>
      <c r="G64" s="740">
        <f>'7_Local Revenue'!AO64</f>
        <v>667489250</v>
      </c>
      <c r="H64" s="740">
        <f t="shared" si="2"/>
        <v>4661024</v>
      </c>
      <c r="I64" s="740">
        <f>'7_Local Revenue'!AR64</f>
        <v>365521</v>
      </c>
      <c r="J64" s="741">
        <f t="shared" si="3"/>
        <v>7117741</v>
      </c>
    </row>
    <row r="65" spans="1:10" ht="16.899999999999999" customHeight="1" x14ac:dyDescent="0.2">
      <c r="A65" s="738">
        <v>59</v>
      </c>
      <c r="B65" s="739" t="s">
        <v>189</v>
      </c>
      <c r="C65" s="740">
        <f>'7_Local Revenue'!AF65</f>
        <v>3061369</v>
      </c>
      <c r="D65" s="740">
        <f>'7_Local Revenue'!H65</f>
        <v>103247960</v>
      </c>
      <c r="E65" s="740">
        <f t="shared" si="1"/>
        <v>1478347</v>
      </c>
      <c r="F65" s="740">
        <f>'7_Local Revenue'!AK65</f>
        <v>5096316</v>
      </c>
      <c r="G65" s="740">
        <f>'7_Local Revenue'!AO65</f>
        <v>254815800</v>
      </c>
      <c r="H65" s="740">
        <f t="shared" si="2"/>
        <v>1779358</v>
      </c>
      <c r="I65" s="740">
        <f>'7_Local Revenue'!AR65</f>
        <v>162491</v>
      </c>
      <c r="J65" s="741">
        <f t="shared" si="3"/>
        <v>3420196</v>
      </c>
    </row>
    <row r="66" spans="1:10" ht="16.899999999999999" customHeight="1" x14ac:dyDescent="0.2">
      <c r="A66" s="742">
        <v>60</v>
      </c>
      <c r="B66" s="743" t="s">
        <v>190</v>
      </c>
      <c r="C66" s="744">
        <f>'7_Local Revenue'!AF66</f>
        <v>12452185</v>
      </c>
      <c r="D66" s="744">
        <f>'7_Local Revenue'!H66</f>
        <v>255712002</v>
      </c>
      <c r="E66" s="744">
        <f t="shared" si="1"/>
        <v>3661389</v>
      </c>
      <c r="F66" s="744">
        <f>'7_Local Revenue'!AK66</f>
        <v>14728534</v>
      </c>
      <c r="G66" s="744">
        <f>'7_Local Revenue'!AO66</f>
        <v>691480469</v>
      </c>
      <c r="H66" s="744">
        <f t="shared" si="2"/>
        <v>4828553</v>
      </c>
      <c r="I66" s="744">
        <f>'7_Local Revenue'!AR66</f>
        <v>295283</v>
      </c>
      <c r="J66" s="745">
        <f t="shared" si="3"/>
        <v>8785225</v>
      </c>
    </row>
    <row r="67" spans="1:10" ht="16.899999999999999" customHeight="1" x14ac:dyDescent="0.2">
      <c r="A67" s="734">
        <v>61</v>
      </c>
      <c r="B67" s="735" t="s">
        <v>191</v>
      </c>
      <c r="C67" s="736">
        <f>'7_Local Revenue'!AF67</f>
        <v>27159248</v>
      </c>
      <c r="D67" s="736">
        <f>'7_Local Revenue'!H67</f>
        <v>467752882</v>
      </c>
      <c r="E67" s="736">
        <f t="shared" si="1"/>
        <v>6697477</v>
      </c>
      <c r="F67" s="736">
        <f>'7_Local Revenue'!AK67</f>
        <v>15844103</v>
      </c>
      <c r="G67" s="736">
        <f>'7_Local Revenue'!AO67</f>
        <v>792205150</v>
      </c>
      <c r="H67" s="736">
        <f t="shared" si="2"/>
        <v>5531905</v>
      </c>
      <c r="I67" s="736">
        <f>'7_Local Revenue'!AR67</f>
        <v>183961</v>
      </c>
      <c r="J67" s="737">
        <f t="shared" si="3"/>
        <v>12413343</v>
      </c>
    </row>
    <row r="68" spans="1:10" ht="16.899999999999999" customHeight="1" x14ac:dyDescent="0.2">
      <c r="A68" s="738">
        <v>62</v>
      </c>
      <c r="B68" s="739" t="s">
        <v>192</v>
      </c>
      <c r="C68" s="740">
        <f>'7_Local Revenue'!AF68</f>
        <v>1867793</v>
      </c>
      <c r="D68" s="740">
        <f>'7_Local Revenue'!H68</f>
        <v>65907691</v>
      </c>
      <c r="E68" s="740">
        <f t="shared" si="1"/>
        <v>943693</v>
      </c>
      <c r="F68" s="740">
        <f>'7_Local Revenue'!AK68</f>
        <v>2897892</v>
      </c>
      <c r="G68" s="740">
        <f>'7_Local Revenue'!AO68</f>
        <v>144894600</v>
      </c>
      <c r="H68" s="740">
        <f t="shared" si="2"/>
        <v>1011787</v>
      </c>
      <c r="I68" s="740">
        <f>'7_Local Revenue'!AR68</f>
        <v>80380</v>
      </c>
      <c r="J68" s="741">
        <f t="shared" si="3"/>
        <v>2035860</v>
      </c>
    </row>
    <row r="69" spans="1:10" ht="16.899999999999999" customHeight="1" x14ac:dyDescent="0.2">
      <c r="A69" s="738">
        <v>63</v>
      </c>
      <c r="B69" s="739" t="s">
        <v>193</v>
      </c>
      <c r="C69" s="740">
        <f>'7_Local Revenue'!AF69</f>
        <v>14726152</v>
      </c>
      <c r="D69" s="740">
        <f>'7_Local Revenue'!H69</f>
        <v>379832610</v>
      </c>
      <c r="E69" s="740">
        <f t="shared" si="1"/>
        <v>5438599</v>
      </c>
      <c r="F69" s="740">
        <f>'7_Local Revenue'!AK69</f>
        <v>7572800</v>
      </c>
      <c r="G69" s="740">
        <f>'7_Local Revenue'!AO69</f>
        <v>252426667</v>
      </c>
      <c r="H69" s="740">
        <f t="shared" si="2"/>
        <v>1762675</v>
      </c>
      <c r="I69" s="740">
        <f>'7_Local Revenue'!AR69</f>
        <v>57832</v>
      </c>
      <c r="J69" s="741">
        <f t="shared" si="3"/>
        <v>7259106</v>
      </c>
    </row>
    <row r="70" spans="1:10" ht="16.899999999999999" customHeight="1" x14ac:dyDescent="0.2">
      <c r="A70" s="738">
        <v>64</v>
      </c>
      <c r="B70" s="739" t="s">
        <v>194</v>
      </c>
      <c r="C70" s="740">
        <f>'7_Local Revenue'!AF70</f>
        <v>2153189</v>
      </c>
      <c r="D70" s="740">
        <f>'7_Local Revenue'!H70</f>
        <v>70422364</v>
      </c>
      <c r="E70" s="740">
        <f t="shared" si="1"/>
        <v>1008336</v>
      </c>
      <c r="F70" s="740">
        <f>'7_Local Revenue'!AK70</f>
        <v>4292312</v>
      </c>
      <c r="G70" s="740">
        <f>'7_Local Revenue'!AO70</f>
        <v>214615600</v>
      </c>
      <c r="H70" s="740">
        <f t="shared" si="2"/>
        <v>1498644</v>
      </c>
      <c r="I70" s="740">
        <f>'7_Local Revenue'!AR70</f>
        <v>226626</v>
      </c>
      <c r="J70" s="741">
        <f t="shared" si="3"/>
        <v>2733606</v>
      </c>
    </row>
    <row r="71" spans="1:10" ht="16.899999999999999" customHeight="1" x14ac:dyDescent="0.2">
      <c r="A71" s="742">
        <v>65</v>
      </c>
      <c r="B71" s="743" t="s">
        <v>195</v>
      </c>
      <c r="C71" s="744">
        <f>'7_Local Revenue'!AF71</f>
        <v>14270085</v>
      </c>
      <c r="D71" s="744">
        <f>'7_Local Revenue'!H71</f>
        <v>394952792</v>
      </c>
      <c r="E71" s="744">
        <f>ROUND(D71*$E$3/1000,0)</f>
        <v>5655096</v>
      </c>
      <c r="F71" s="744">
        <f>'7_Local Revenue'!AK71</f>
        <v>27898691</v>
      </c>
      <c r="G71" s="744">
        <f>'7_Local Revenue'!AO71</f>
        <v>1394934550</v>
      </c>
      <c r="H71" s="744">
        <f>ROUND(G71*$H$3,0)</f>
        <v>9740716</v>
      </c>
      <c r="I71" s="744">
        <f>'7_Local Revenue'!AR71</f>
        <v>258060</v>
      </c>
      <c r="J71" s="745">
        <f>E71+H71+I71</f>
        <v>15653872</v>
      </c>
    </row>
    <row r="72" spans="1:10" ht="16.899999999999999" customHeight="1" x14ac:dyDescent="0.2">
      <c r="A72" s="734">
        <v>66</v>
      </c>
      <c r="B72" s="735" t="s">
        <v>196</v>
      </c>
      <c r="C72" s="736">
        <f>'7_Local Revenue'!AF72</f>
        <v>5659658</v>
      </c>
      <c r="D72" s="736">
        <f>'7_Local Revenue'!H72</f>
        <v>90008450</v>
      </c>
      <c r="E72" s="736">
        <f>ROUND(D72*$E$3/1000,0)</f>
        <v>1288778</v>
      </c>
      <c r="F72" s="736">
        <f>'7_Local Revenue'!AK72</f>
        <v>3002148</v>
      </c>
      <c r="G72" s="736">
        <f>'7_Local Revenue'!AO72</f>
        <v>300214800</v>
      </c>
      <c r="H72" s="736">
        <f>ROUND(G72*$H$3,0)</f>
        <v>2096376</v>
      </c>
      <c r="I72" s="736">
        <f>'7_Local Revenue'!AR72</f>
        <v>194122</v>
      </c>
      <c r="J72" s="737">
        <f>E72+H72+I72</f>
        <v>3579276</v>
      </c>
    </row>
    <row r="73" spans="1:10" ht="16.899999999999999" customHeight="1" x14ac:dyDescent="0.2">
      <c r="A73" s="738">
        <v>67</v>
      </c>
      <c r="B73" s="739" t="s">
        <v>197</v>
      </c>
      <c r="C73" s="740">
        <f>'7_Local Revenue'!AF73</f>
        <v>22228473</v>
      </c>
      <c r="D73" s="740">
        <f>'7_Local Revenue'!H73</f>
        <v>299722571.07999998</v>
      </c>
      <c r="E73" s="740">
        <f>ROUND(D73*$E$3/1000,0)</f>
        <v>4291550</v>
      </c>
      <c r="F73" s="740">
        <f>'7_Local Revenue'!AK73</f>
        <v>10164103</v>
      </c>
      <c r="G73" s="740">
        <f>'7_Local Revenue'!AO73</f>
        <v>508205150</v>
      </c>
      <c r="H73" s="740">
        <f>ROUND(G73*$H$3,0)</f>
        <v>3548756</v>
      </c>
      <c r="I73" s="740">
        <f>'7_Local Revenue'!AR73</f>
        <v>97336</v>
      </c>
      <c r="J73" s="741">
        <f>E73+H73+I73</f>
        <v>7937642</v>
      </c>
    </row>
    <row r="74" spans="1:10" ht="16.899999999999999" customHeight="1" x14ac:dyDescent="0.2">
      <c r="A74" s="738">
        <v>68</v>
      </c>
      <c r="B74" s="739" t="s">
        <v>198</v>
      </c>
      <c r="C74" s="740">
        <f>'7_Local Revenue'!AF74</f>
        <v>2123416</v>
      </c>
      <c r="D74" s="740">
        <f>'7_Local Revenue'!H74</f>
        <v>50017627.121000007</v>
      </c>
      <c r="E74" s="740">
        <f>ROUND(D74*$E$3/1000,0)</f>
        <v>716173</v>
      </c>
      <c r="F74" s="740">
        <f>'7_Local Revenue'!AK74</f>
        <v>3694059</v>
      </c>
      <c r="G74" s="740">
        <f>'7_Local Revenue'!AO74</f>
        <v>184702950</v>
      </c>
      <c r="H74" s="740">
        <f>ROUND(G74*$H$3,0)</f>
        <v>1289766</v>
      </c>
      <c r="I74" s="740">
        <f>'7_Local Revenue'!AR74</f>
        <v>45719</v>
      </c>
      <c r="J74" s="741">
        <f>E74+H74+I74</f>
        <v>2051658</v>
      </c>
    </row>
    <row r="75" spans="1:10" ht="16.899999999999999" customHeight="1" x14ac:dyDescent="0.2">
      <c r="A75" s="742">
        <v>69</v>
      </c>
      <c r="B75" s="743" t="s">
        <v>199</v>
      </c>
      <c r="C75" s="744">
        <f>'7_Local Revenue'!AF75</f>
        <v>9621847</v>
      </c>
      <c r="D75" s="744">
        <f>'7_Local Revenue'!H75</f>
        <v>169094740</v>
      </c>
      <c r="E75" s="744">
        <f>ROUND(D75*$E$3/1000,0)</f>
        <v>2421168</v>
      </c>
      <c r="F75" s="744">
        <f>'7_Local Revenue'!AK75</f>
        <v>9509114</v>
      </c>
      <c r="G75" s="744">
        <f>'7_Local Revenue'!AO75</f>
        <v>380364560</v>
      </c>
      <c r="H75" s="744">
        <f>ROUND(G75*$H$3,0)</f>
        <v>2656055</v>
      </c>
      <c r="I75" s="744">
        <f>'7_Local Revenue'!AR75</f>
        <v>4000</v>
      </c>
      <c r="J75" s="745">
        <f>E75+H75+I75</f>
        <v>5081223</v>
      </c>
    </row>
    <row r="76" spans="1:10" s="41" customFormat="1" ht="16.899999999999999" customHeight="1" thickBot="1" x14ac:dyDescent="0.25">
      <c r="A76" s="746"/>
      <c r="B76" s="747" t="s">
        <v>432</v>
      </c>
      <c r="C76" s="161">
        <f t="shared" ref="C76:J76" si="4">SUM(C7:C75)</f>
        <v>1864957882</v>
      </c>
      <c r="D76" s="161">
        <f t="shared" si="4"/>
        <v>44289276381.721001</v>
      </c>
      <c r="E76" s="161">
        <f t="shared" si="4"/>
        <v>634151976</v>
      </c>
      <c r="F76" s="161">
        <f t="shared" si="4"/>
        <v>1984468131</v>
      </c>
      <c r="G76" s="161">
        <f t="shared" si="4"/>
        <v>97124376857</v>
      </c>
      <c r="H76" s="161">
        <f t="shared" si="4"/>
        <v>678211751</v>
      </c>
      <c r="I76" s="161">
        <f t="shared" si="4"/>
        <v>33756310</v>
      </c>
      <c r="J76" s="748">
        <f t="shared" si="4"/>
        <v>1346120037</v>
      </c>
    </row>
    <row r="77" spans="1:10" ht="15" hidden="1" customHeight="1" thickTop="1" x14ac:dyDescent="0.2">
      <c r="A77" s="749"/>
      <c r="B77" s="749"/>
      <c r="I77" s="722">
        <f>'3_Levels 1&amp;2'!W76</f>
        <v>0.35</v>
      </c>
      <c r="J77" s="750">
        <v>0.34229999999999999</v>
      </c>
    </row>
    <row r="78" spans="1:10" ht="13.5" thickTop="1" x14ac:dyDescent="0.2"/>
    <row r="79" spans="1:10" x14ac:dyDescent="0.2">
      <c r="J79" s="15"/>
    </row>
  </sheetData>
  <sheetProtection password="D893" sheet="1" objects="1" scenarios="1" formatCells="0" formatColumns="0" formatRows="0"/>
  <mergeCells count="9">
    <mergeCell ref="A1:B3"/>
    <mergeCell ref="C1:E1"/>
    <mergeCell ref="F1:H1"/>
    <mergeCell ref="I1:I3"/>
    <mergeCell ref="J1:J3"/>
    <mergeCell ref="C2:C3"/>
    <mergeCell ref="D2:D3"/>
    <mergeCell ref="F2:F3"/>
    <mergeCell ref="G2:G3"/>
  </mergeCells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>&amp;L&amp;"Arial,Bold"&amp;18&amp;K000000Table 6: FY2021-22 Budget Letter
Local Deduction Calculation</oddHeader>
    <oddFooter>&amp;R&amp;12&amp;P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T77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3" style="2" bestFit="1" customWidth="1"/>
    <col min="2" max="2" width="17.5703125" style="2" bestFit="1" customWidth="1"/>
    <col min="3" max="3" width="16" style="2" customWidth="1"/>
    <col min="4" max="4" width="15.85546875" style="2" customWidth="1"/>
    <col min="5" max="6" width="16.28515625" style="2" bestFit="1" customWidth="1"/>
    <col min="7" max="7" width="10.7109375" style="2" customWidth="1"/>
    <col min="8" max="8" width="16.28515625" style="2" customWidth="1"/>
    <col min="9" max="9" width="9.5703125" style="2" customWidth="1"/>
    <col min="10" max="10" width="14.7109375" style="2" customWidth="1"/>
    <col min="11" max="11" width="9.5703125" style="2" customWidth="1"/>
    <col min="12" max="12" width="16.5703125" style="2" customWidth="1"/>
    <col min="13" max="15" width="9.5703125" style="2" customWidth="1"/>
    <col min="16" max="16" width="14.42578125" style="2" customWidth="1"/>
    <col min="17" max="17" width="16.7109375" style="2" customWidth="1"/>
    <col min="18" max="18" width="9.5703125" style="2" customWidth="1"/>
    <col min="19" max="19" width="15.42578125" style="2" customWidth="1"/>
    <col min="20" max="22" width="9.5703125" style="2" customWidth="1"/>
    <col min="23" max="24" width="13.85546875" style="2" customWidth="1"/>
    <col min="25" max="25" width="12.5703125" style="2" customWidth="1"/>
    <col min="26" max="26" width="15.5703125" style="2" bestFit="1" customWidth="1"/>
    <col min="27" max="27" width="13.7109375" style="2" bestFit="1" customWidth="1"/>
    <col min="28" max="30" width="10.7109375" style="2" customWidth="1"/>
    <col min="31" max="31" width="13.85546875" style="2" customWidth="1"/>
    <col min="32" max="32" width="15.5703125" style="2" bestFit="1" customWidth="1"/>
    <col min="33" max="33" width="14.5703125" style="2" customWidth="1"/>
    <col min="34" max="35" width="16.28515625" style="2" customWidth="1"/>
    <col min="36" max="36" width="13.85546875" style="2" customWidth="1"/>
    <col min="37" max="37" width="17.28515625" style="2" customWidth="1"/>
    <col min="38" max="39" width="18.5703125" style="2" customWidth="1"/>
    <col min="40" max="40" width="12.28515625" style="2" customWidth="1"/>
    <col min="41" max="41" width="18.5703125" style="2" customWidth="1"/>
    <col min="42" max="43" width="9.5703125" style="2" customWidth="1"/>
    <col min="44" max="44" width="22" style="2" customWidth="1"/>
    <col min="45" max="45" width="18.7109375" style="2" customWidth="1"/>
    <col min="46" max="46" width="12.28515625" style="2" customWidth="1"/>
    <col min="47" max="16384" width="8.85546875" style="2"/>
  </cols>
  <sheetData>
    <row r="1" spans="1:46" s="751" customFormat="1" ht="29.25" customHeight="1" x14ac:dyDescent="0.2">
      <c r="A1" s="1091" t="s">
        <v>201</v>
      </c>
      <c r="B1" s="1092"/>
      <c r="C1" s="1109" t="s">
        <v>918</v>
      </c>
      <c r="D1" s="1110"/>
      <c r="E1" s="1111"/>
      <c r="F1" s="1111"/>
      <c r="G1" s="1111"/>
      <c r="H1" s="1112"/>
      <c r="I1" s="1113" t="s">
        <v>919</v>
      </c>
      <c r="J1" s="1114"/>
      <c r="K1" s="1115" t="s">
        <v>920</v>
      </c>
      <c r="L1" s="1116"/>
      <c r="M1" s="1116"/>
      <c r="N1" s="1116"/>
      <c r="O1" s="1116"/>
      <c r="P1" s="1117"/>
      <c r="Q1" s="1118" t="s">
        <v>921</v>
      </c>
      <c r="R1" s="1115" t="s">
        <v>922</v>
      </c>
      <c r="S1" s="1116"/>
      <c r="T1" s="1116"/>
      <c r="U1" s="1116"/>
      <c r="V1" s="1116"/>
      <c r="W1" s="1117"/>
      <c r="X1" s="1118" t="s">
        <v>923</v>
      </c>
      <c r="Y1" s="1115" t="s">
        <v>924</v>
      </c>
      <c r="Z1" s="1116"/>
      <c r="AA1" s="1116"/>
      <c r="AB1" s="1116"/>
      <c r="AC1" s="1116"/>
      <c r="AD1" s="1116"/>
      <c r="AE1" s="1117"/>
      <c r="AF1" s="1118" t="s">
        <v>925</v>
      </c>
      <c r="AG1" s="1115" t="s">
        <v>926</v>
      </c>
      <c r="AH1" s="1116"/>
      <c r="AI1" s="1116"/>
      <c r="AJ1" s="1117"/>
      <c r="AK1" s="1118" t="s">
        <v>927</v>
      </c>
      <c r="AL1" s="1115" t="s">
        <v>928</v>
      </c>
      <c r="AM1" s="1116"/>
      <c r="AN1" s="1116"/>
      <c r="AO1" s="1116"/>
      <c r="AP1" s="1116"/>
      <c r="AQ1" s="1117"/>
      <c r="AR1" s="1118" t="s">
        <v>929</v>
      </c>
      <c r="AS1" s="1122" t="s">
        <v>930</v>
      </c>
      <c r="AT1" s="1122" t="s">
        <v>345</v>
      </c>
    </row>
    <row r="2" spans="1:46" s="41" customFormat="1" ht="64.5" customHeight="1" x14ac:dyDescent="0.2">
      <c r="A2" s="938"/>
      <c r="B2" s="939"/>
      <c r="C2" s="1076" t="s">
        <v>931</v>
      </c>
      <c r="D2" s="1076" t="s">
        <v>932</v>
      </c>
      <c r="E2" s="1104" t="s">
        <v>933</v>
      </c>
      <c r="F2" s="1076" t="s">
        <v>934</v>
      </c>
      <c r="G2" s="1076" t="s">
        <v>935</v>
      </c>
      <c r="H2" s="752" t="s">
        <v>936</v>
      </c>
      <c r="I2" s="1076" t="s">
        <v>937</v>
      </c>
      <c r="J2" s="1076" t="s">
        <v>938</v>
      </c>
      <c r="K2" s="1076" t="s">
        <v>937</v>
      </c>
      <c r="L2" s="1076" t="s">
        <v>938</v>
      </c>
      <c r="M2" s="1076" t="s">
        <v>939</v>
      </c>
      <c r="N2" s="1076" t="s">
        <v>940</v>
      </c>
      <c r="O2" s="1076" t="s">
        <v>941</v>
      </c>
      <c r="P2" s="1076" t="s">
        <v>942</v>
      </c>
      <c r="Q2" s="1119" t="s">
        <v>943</v>
      </c>
      <c r="R2" s="1076" t="s">
        <v>937</v>
      </c>
      <c r="S2" s="1076" t="s">
        <v>938</v>
      </c>
      <c r="T2" s="1076" t="s">
        <v>939</v>
      </c>
      <c r="U2" s="1076" t="s">
        <v>940</v>
      </c>
      <c r="V2" s="1076" t="s">
        <v>941</v>
      </c>
      <c r="W2" s="1076" t="s">
        <v>942</v>
      </c>
      <c r="X2" s="1119" t="s">
        <v>943</v>
      </c>
      <c r="Y2" s="1076" t="s">
        <v>944</v>
      </c>
      <c r="Z2" s="1076" t="s">
        <v>945</v>
      </c>
      <c r="AA2" s="1076" t="s">
        <v>946</v>
      </c>
      <c r="AB2" s="1076" t="s">
        <v>947</v>
      </c>
      <c r="AC2" s="1076" t="s">
        <v>948</v>
      </c>
      <c r="AD2" s="1076" t="s">
        <v>949</v>
      </c>
      <c r="AE2" s="1076" t="s">
        <v>950</v>
      </c>
      <c r="AF2" s="1119" t="s">
        <v>943</v>
      </c>
      <c r="AG2" s="1108" t="s">
        <v>951</v>
      </c>
      <c r="AH2" s="1108" t="s">
        <v>952</v>
      </c>
      <c r="AI2" s="1108" t="s">
        <v>953</v>
      </c>
      <c r="AJ2" s="1076" t="s">
        <v>950</v>
      </c>
      <c r="AK2" s="1119" t="s">
        <v>943</v>
      </c>
      <c r="AL2" s="1108" t="s">
        <v>954</v>
      </c>
      <c r="AM2" s="1108" t="s">
        <v>955</v>
      </c>
      <c r="AN2" s="1108" t="s">
        <v>956</v>
      </c>
      <c r="AO2" s="753" t="s">
        <v>957</v>
      </c>
      <c r="AP2" s="1108" t="s">
        <v>958</v>
      </c>
      <c r="AQ2" s="1108" t="s">
        <v>959</v>
      </c>
      <c r="AR2" s="1119"/>
      <c r="AS2" s="1123"/>
      <c r="AT2" s="1125"/>
    </row>
    <row r="3" spans="1:46" s="41" customFormat="1" ht="16.149999999999999" customHeight="1" x14ac:dyDescent="0.2">
      <c r="A3" s="1093"/>
      <c r="B3" s="1094"/>
      <c r="C3" s="1076"/>
      <c r="D3" s="1076"/>
      <c r="E3" s="954"/>
      <c r="F3" s="1076"/>
      <c r="G3" s="1076"/>
      <c r="H3" s="754">
        <v>0.1</v>
      </c>
      <c r="I3" s="1076"/>
      <c r="J3" s="1076"/>
      <c r="K3" s="1076"/>
      <c r="L3" s="1076"/>
      <c r="M3" s="1076"/>
      <c r="N3" s="1076"/>
      <c r="O3" s="1076"/>
      <c r="P3" s="1076"/>
      <c r="Q3" s="1120"/>
      <c r="R3" s="1076"/>
      <c r="S3" s="1076"/>
      <c r="T3" s="1076"/>
      <c r="U3" s="1076"/>
      <c r="V3" s="1076"/>
      <c r="W3" s="1076"/>
      <c r="X3" s="1120"/>
      <c r="Y3" s="1076"/>
      <c r="Z3" s="1076"/>
      <c r="AA3" s="1076"/>
      <c r="AB3" s="1076"/>
      <c r="AC3" s="1076"/>
      <c r="AD3" s="1076"/>
      <c r="AE3" s="1076"/>
      <c r="AF3" s="1120"/>
      <c r="AG3" s="1108"/>
      <c r="AH3" s="1108"/>
      <c r="AI3" s="1108"/>
      <c r="AJ3" s="1076"/>
      <c r="AK3" s="1120"/>
      <c r="AL3" s="1108"/>
      <c r="AM3" s="1108"/>
      <c r="AN3" s="1108"/>
      <c r="AO3" s="754">
        <v>0.15</v>
      </c>
      <c r="AP3" s="1108"/>
      <c r="AQ3" s="1108"/>
      <c r="AR3" s="1121"/>
      <c r="AS3" s="1124"/>
      <c r="AT3" s="1126"/>
    </row>
    <row r="4" spans="1:46" ht="15" customHeight="1" x14ac:dyDescent="0.2">
      <c r="A4" s="727"/>
      <c r="B4" s="727"/>
      <c r="C4" s="755">
        <v>1</v>
      </c>
      <c r="D4" s="728">
        <f>C4+1</f>
        <v>2</v>
      </c>
      <c r="E4" s="728">
        <v>3</v>
      </c>
      <c r="F4" s="729" t="s">
        <v>377</v>
      </c>
      <c r="G4" s="729" t="s">
        <v>960</v>
      </c>
      <c r="H4" s="729" t="s">
        <v>961</v>
      </c>
      <c r="I4" s="728">
        <f>E4+1</f>
        <v>4</v>
      </c>
      <c r="J4" s="728">
        <f t="shared" ref="J4:AT4" si="0">I4+1</f>
        <v>5</v>
      </c>
      <c r="K4" s="728">
        <f t="shared" si="0"/>
        <v>6</v>
      </c>
      <c r="L4" s="728">
        <f t="shared" si="0"/>
        <v>7</v>
      </c>
      <c r="M4" s="728">
        <f t="shared" si="0"/>
        <v>8</v>
      </c>
      <c r="N4" s="728">
        <f t="shared" si="0"/>
        <v>9</v>
      </c>
      <c r="O4" s="728">
        <f t="shared" si="0"/>
        <v>10</v>
      </c>
      <c r="P4" s="728">
        <f t="shared" si="0"/>
        <v>11</v>
      </c>
      <c r="Q4" s="728">
        <f t="shared" si="0"/>
        <v>12</v>
      </c>
      <c r="R4" s="728">
        <f t="shared" si="0"/>
        <v>13</v>
      </c>
      <c r="S4" s="728">
        <f t="shared" si="0"/>
        <v>14</v>
      </c>
      <c r="T4" s="728">
        <f t="shared" si="0"/>
        <v>15</v>
      </c>
      <c r="U4" s="728">
        <f t="shared" si="0"/>
        <v>16</v>
      </c>
      <c r="V4" s="728">
        <f t="shared" si="0"/>
        <v>17</v>
      </c>
      <c r="W4" s="728">
        <f t="shared" si="0"/>
        <v>18</v>
      </c>
      <c r="X4" s="728">
        <f t="shared" si="0"/>
        <v>19</v>
      </c>
      <c r="Y4" s="728">
        <f t="shared" si="0"/>
        <v>20</v>
      </c>
      <c r="Z4" s="728">
        <f t="shared" si="0"/>
        <v>21</v>
      </c>
      <c r="AA4" s="728">
        <f t="shared" si="0"/>
        <v>22</v>
      </c>
      <c r="AB4" s="728">
        <f t="shared" si="0"/>
        <v>23</v>
      </c>
      <c r="AC4" s="728">
        <f t="shared" si="0"/>
        <v>24</v>
      </c>
      <c r="AD4" s="728">
        <f t="shared" si="0"/>
        <v>25</v>
      </c>
      <c r="AE4" s="728">
        <f t="shared" si="0"/>
        <v>26</v>
      </c>
      <c r="AF4" s="728">
        <f t="shared" si="0"/>
        <v>27</v>
      </c>
      <c r="AG4" s="728">
        <f t="shared" si="0"/>
        <v>28</v>
      </c>
      <c r="AH4" s="728">
        <f t="shared" si="0"/>
        <v>29</v>
      </c>
      <c r="AI4" s="728">
        <f t="shared" si="0"/>
        <v>30</v>
      </c>
      <c r="AJ4" s="728">
        <f t="shared" si="0"/>
        <v>31</v>
      </c>
      <c r="AK4" s="728">
        <f t="shared" si="0"/>
        <v>32</v>
      </c>
      <c r="AL4" s="728">
        <f t="shared" si="0"/>
        <v>33</v>
      </c>
      <c r="AM4" s="728">
        <f t="shared" si="0"/>
        <v>34</v>
      </c>
      <c r="AN4" s="728">
        <f t="shared" si="0"/>
        <v>35</v>
      </c>
      <c r="AO4" s="728">
        <f t="shared" si="0"/>
        <v>36</v>
      </c>
      <c r="AP4" s="728">
        <f t="shared" si="0"/>
        <v>37</v>
      </c>
      <c r="AQ4" s="728">
        <f t="shared" si="0"/>
        <v>38</v>
      </c>
      <c r="AR4" s="728">
        <f t="shared" si="0"/>
        <v>39</v>
      </c>
      <c r="AS4" s="728">
        <f t="shared" si="0"/>
        <v>40</v>
      </c>
      <c r="AT4" s="728">
        <f t="shared" si="0"/>
        <v>41</v>
      </c>
    </row>
    <row r="5" spans="1:46" s="381" customFormat="1" ht="33.75" x14ac:dyDescent="0.2">
      <c r="A5" s="756"/>
      <c r="B5" s="756"/>
      <c r="C5" s="757" t="s">
        <v>962</v>
      </c>
      <c r="D5" s="757" t="s">
        <v>963</v>
      </c>
      <c r="E5" s="758" t="s">
        <v>964</v>
      </c>
      <c r="F5" s="759" t="s">
        <v>965</v>
      </c>
      <c r="G5" s="759" t="s">
        <v>966</v>
      </c>
      <c r="H5" s="759" t="s">
        <v>967</v>
      </c>
      <c r="I5" s="758" t="s">
        <v>968</v>
      </c>
      <c r="J5" s="758" t="s">
        <v>969</v>
      </c>
      <c r="K5" s="758" t="s">
        <v>970</v>
      </c>
      <c r="L5" s="758" t="s">
        <v>971</v>
      </c>
      <c r="M5" s="758" t="s">
        <v>972</v>
      </c>
      <c r="N5" s="758" t="s">
        <v>973</v>
      </c>
      <c r="O5" s="758" t="s">
        <v>974</v>
      </c>
      <c r="P5" s="758" t="s">
        <v>975</v>
      </c>
      <c r="Q5" s="758" t="s">
        <v>976</v>
      </c>
      <c r="R5" s="758" t="s">
        <v>977</v>
      </c>
      <c r="S5" s="758" t="s">
        <v>978</v>
      </c>
      <c r="T5" s="758" t="s">
        <v>979</v>
      </c>
      <c r="U5" s="758" t="s">
        <v>980</v>
      </c>
      <c r="V5" s="758" t="s">
        <v>981</v>
      </c>
      <c r="W5" s="758" t="s">
        <v>982</v>
      </c>
      <c r="X5" s="758" t="s">
        <v>983</v>
      </c>
      <c r="Y5" s="758" t="s">
        <v>984</v>
      </c>
      <c r="Z5" s="758" t="s">
        <v>985</v>
      </c>
      <c r="AA5" s="758" t="s">
        <v>986</v>
      </c>
      <c r="AB5" s="758" t="s">
        <v>987</v>
      </c>
      <c r="AC5" s="758" t="s">
        <v>988</v>
      </c>
      <c r="AD5" s="758" t="s">
        <v>989</v>
      </c>
      <c r="AE5" s="758" t="s">
        <v>950</v>
      </c>
      <c r="AF5" s="758" t="s">
        <v>990</v>
      </c>
      <c r="AG5" s="758" t="s">
        <v>991</v>
      </c>
      <c r="AH5" s="758" t="s">
        <v>992</v>
      </c>
      <c r="AI5" s="758" t="s">
        <v>993</v>
      </c>
      <c r="AJ5" s="758" t="s">
        <v>950</v>
      </c>
      <c r="AK5" s="758" t="s">
        <v>994</v>
      </c>
      <c r="AL5" s="759" t="s">
        <v>995</v>
      </c>
      <c r="AM5" s="758" t="s">
        <v>996</v>
      </c>
      <c r="AN5" s="759" t="s">
        <v>997</v>
      </c>
      <c r="AO5" s="759" t="s">
        <v>998</v>
      </c>
      <c r="AP5" s="758" t="s">
        <v>999</v>
      </c>
      <c r="AQ5" s="758" t="s">
        <v>1000</v>
      </c>
      <c r="AR5" s="758" t="s">
        <v>1001</v>
      </c>
      <c r="AS5" s="758" t="s">
        <v>1002</v>
      </c>
      <c r="AT5" s="758" t="s">
        <v>1003</v>
      </c>
    </row>
    <row r="6" spans="1:46" s="96" customFormat="1" ht="33.75" hidden="1" x14ac:dyDescent="0.2">
      <c r="A6" s="756"/>
      <c r="B6" s="756"/>
      <c r="C6" s="757" t="s">
        <v>1004</v>
      </c>
      <c r="D6" s="757" t="s">
        <v>1004</v>
      </c>
      <c r="E6" s="758" t="s">
        <v>74</v>
      </c>
      <c r="F6" s="759" t="s">
        <v>1005</v>
      </c>
      <c r="G6" s="759" t="s">
        <v>74</v>
      </c>
      <c r="H6" s="759" t="s">
        <v>74</v>
      </c>
      <c r="I6" s="758" t="s">
        <v>1006</v>
      </c>
      <c r="J6" s="758" t="s">
        <v>1006</v>
      </c>
      <c r="K6" s="758" t="s">
        <v>1006</v>
      </c>
      <c r="L6" s="758" t="s">
        <v>1006</v>
      </c>
      <c r="M6" s="758" t="s">
        <v>1006</v>
      </c>
      <c r="N6" s="758" t="s">
        <v>1006</v>
      </c>
      <c r="O6" s="758" t="s">
        <v>1006</v>
      </c>
      <c r="P6" s="758" t="s">
        <v>1006</v>
      </c>
      <c r="Q6" s="758" t="s">
        <v>74</v>
      </c>
      <c r="R6" s="758" t="s">
        <v>1006</v>
      </c>
      <c r="S6" s="758" t="s">
        <v>1006</v>
      </c>
      <c r="T6" s="758" t="s">
        <v>1006</v>
      </c>
      <c r="U6" s="758" t="s">
        <v>1006</v>
      </c>
      <c r="V6" s="758" t="s">
        <v>1006</v>
      </c>
      <c r="W6" s="758" t="s">
        <v>1006</v>
      </c>
      <c r="X6" s="758" t="s">
        <v>74</v>
      </c>
      <c r="Y6" s="758" t="s">
        <v>74</v>
      </c>
      <c r="Z6" s="758" t="s">
        <v>74</v>
      </c>
      <c r="AA6" s="758" t="s">
        <v>74</v>
      </c>
      <c r="AB6" s="758" t="s">
        <v>74</v>
      </c>
      <c r="AC6" s="758" t="s">
        <v>74</v>
      </c>
      <c r="AD6" s="758" t="s">
        <v>74</v>
      </c>
      <c r="AE6" s="758"/>
      <c r="AF6" s="758" t="s">
        <v>74</v>
      </c>
      <c r="AG6" s="758" t="s">
        <v>1006</v>
      </c>
      <c r="AH6" s="758" t="s">
        <v>1006</v>
      </c>
      <c r="AI6" s="758" t="s">
        <v>1006</v>
      </c>
      <c r="AJ6" s="758"/>
      <c r="AK6" s="758" t="s">
        <v>74</v>
      </c>
      <c r="AL6" s="759" t="s">
        <v>1005</v>
      </c>
      <c r="AM6" s="758" t="s">
        <v>74</v>
      </c>
      <c r="AN6" s="758" t="s">
        <v>74</v>
      </c>
      <c r="AO6" s="758" t="s">
        <v>74</v>
      </c>
      <c r="AP6" s="758" t="s">
        <v>74</v>
      </c>
      <c r="AQ6" s="758" t="s">
        <v>74</v>
      </c>
      <c r="AR6" s="758" t="s">
        <v>1006</v>
      </c>
      <c r="AS6" s="758" t="s">
        <v>74</v>
      </c>
      <c r="AT6" s="758" t="s">
        <v>74</v>
      </c>
    </row>
    <row r="7" spans="1:46" ht="15" customHeight="1" x14ac:dyDescent="0.2">
      <c r="A7" s="738">
        <v>1</v>
      </c>
      <c r="B7" s="760" t="s">
        <v>131</v>
      </c>
      <c r="C7" s="740">
        <f>VLOOKUP($A7,[6]Breakout!$A$4:$E$72,3,FALSE)</f>
        <v>491185799</v>
      </c>
      <c r="D7" s="740">
        <f>VLOOKUP($A7,[6]Breakout!$A$4:$E$72,4,FALSE)</f>
        <v>88907454</v>
      </c>
      <c r="E7" s="740">
        <f>C7-D7</f>
        <v>402278345</v>
      </c>
      <c r="F7" s="740">
        <v>384550087</v>
      </c>
      <c r="G7" s="761">
        <f>(E7-F7)/F7</f>
        <v>4.6101297592477206E-2</v>
      </c>
      <c r="H7" s="762">
        <f t="shared" ref="H7:H70" si="1">IF((E7-F7)/F7&gt;$H$3,F7*(1+$H$3),E7)</f>
        <v>402278345</v>
      </c>
      <c r="I7" s="763">
        <f>VLOOKUP($A7,[7]Sheet1!$B$2:$U$70,3,FALSE)</f>
        <v>5.23</v>
      </c>
      <c r="J7" s="764">
        <f>VLOOKUP($A7,[7]Sheet1!$B$2:$U$70,4,FALSE)</f>
        <v>2090043</v>
      </c>
      <c r="K7" s="763">
        <f>VLOOKUP($A7,[7]Sheet1!$B$2:$U$70,5,FALSE)</f>
        <v>20.38</v>
      </c>
      <c r="L7" s="764">
        <f>VLOOKUP($A7,[7]Sheet1!$B$2:$U$70,6,FALSE)</f>
        <v>7909429</v>
      </c>
      <c r="M7" s="765">
        <f>VLOOKUP($A7,[7]Sheet1!$B$2:$U$70,7,FALSE)</f>
        <v>0</v>
      </c>
      <c r="N7" s="765">
        <f>VLOOKUP($A7,[7]Sheet1!$B$2:$U$70,8,FALSE)</f>
        <v>13.45</v>
      </c>
      <c r="O7" s="765">
        <f>VLOOKUP($A7,[7]Sheet1!$B$2:$U$70,9,FALSE)</f>
        <v>3</v>
      </c>
      <c r="P7" s="764">
        <f>VLOOKUP($A7,[7]Sheet1!$B$2:$U$70,10,FALSE)</f>
        <v>1868369</v>
      </c>
      <c r="Q7" s="740">
        <f>J7+L7+P7</f>
        <v>11867841</v>
      </c>
      <c r="R7" s="766">
        <f>VLOOKUP($A7,[7]Sheet1!$B$2:$U$70,11,FALSE)</f>
        <v>0</v>
      </c>
      <c r="S7" s="764">
        <f>VLOOKUP($A7,[7]Sheet1!$B$2:$U$70,12,FALSE)</f>
        <v>0</v>
      </c>
      <c r="T7" s="765">
        <f>VLOOKUP($A7,[7]Sheet1!$B$2:$U$70,13,FALSE)</f>
        <v>0</v>
      </c>
      <c r="U7" s="765">
        <f>VLOOKUP($A7,[7]Sheet1!$B$2:$U$70,14,FALSE)</f>
        <v>0</v>
      </c>
      <c r="V7" s="765">
        <f>VLOOKUP($A7,[7]Sheet1!$B$2:$U$70,15,FALSE)</f>
        <v>0</v>
      </c>
      <c r="W7" s="764">
        <f>VLOOKUP($A7,[7]Sheet1!$B$2:$U$70,16,FALSE)</f>
        <v>0</v>
      </c>
      <c r="X7" s="740">
        <f>S7+W7</f>
        <v>0</v>
      </c>
      <c r="Y7" s="767">
        <f>I7+K7+R7</f>
        <v>25.61</v>
      </c>
      <c r="Z7" s="740">
        <f>J7+L7+S7</f>
        <v>9999472</v>
      </c>
      <c r="AA7" s="740">
        <f>P7+W7</f>
        <v>1868369</v>
      </c>
      <c r="AB7" s="768">
        <f t="shared" ref="AB7:AB70" si="2">ROUND((X7/E7)*1000,2)</f>
        <v>0</v>
      </c>
      <c r="AC7" s="769">
        <f t="shared" ref="AC7:AC70" si="3">ROUND((Q7/E7)*1000,2)</f>
        <v>29.5</v>
      </c>
      <c r="AD7" s="770">
        <f t="shared" ref="AD7:AD70" si="4">ROUND((AF7/E7)*1000,2)</f>
        <v>29.5</v>
      </c>
      <c r="AE7" s="771">
        <f>VLOOKUP($A7,[8]Sheet1!$A$3:$H$71,4,FALSE)</f>
        <v>0</v>
      </c>
      <c r="AF7" s="771">
        <f>X7+Q7+AE7</f>
        <v>11867841</v>
      </c>
      <c r="AG7" s="772">
        <f>VLOOKUP($A7,[7]Sheet1!$B$2:$U$70,17,FALSE)</f>
        <v>1.4999999999999999E-2</v>
      </c>
      <c r="AH7" s="38">
        <f>VLOOKUP($A7,[7]Sheet1!$B$2:$U$70,18,FALSE)</f>
        <v>12427018</v>
      </c>
      <c r="AI7" s="38">
        <f>VLOOKUP($A7,[7]Sheet1!$B$2:$U$70,19,FALSE)</f>
        <v>0</v>
      </c>
      <c r="AJ7" s="38">
        <f>VLOOKUP($A7,[8]Sheet1!$A$3:$H$71,7,FALSE)</f>
        <v>0</v>
      </c>
      <c r="AK7" s="773">
        <f>AH7+AI7+AJ7</f>
        <v>12427018</v>
      </c>
      <c r="AL7" s="771">
        <v>843020133</v>
      </c>
      <c r="AM7" s="771">
        <f t="shared" ref="AM7:AM17" si="5">ROUND(AK7/AG7,0)</f>
        <v>828467867</v>
      </c>
      <c r="AN7" s="774">
        <f>(AM7-AL7)/AL7</f>
        <v>-1.726206223357183E-2</v>
      </c>
      <c r="AO7" s="771">
        <f>IF((AM7-AL7)/AL7&gt;$AO$3,AL7*(1+$AO$3),AM7)</f>
        <v>828467867</v>
      </c>
      <c r="AP7" s="761">
        <f t="shared" ref="AP7:AP70" si="6">AH7/AM7</f>
        <v>1.4999999993964763E-2</v>
      </c>
      <c r="AQ7" s="761">
        <f t="shared" ref="AQ7:AQ70" si="7">AI7/AM7</f>
        <v>0</v>
      </c>
      <c r="AR7" s="771">
        <f>VLOOKUP($A7,[7]Sheet1!$B$2:$U$70,20,FALSE)</f>
        <v>471551</v>
      </c>
      <c r="AS7" s="771">
        <f t="shared" ref="AS7:AS70" si="8">AR7+AF7+AK7</f>
        <v>24766410</v>
      </c>
      <c r="AT7" s="771">
        <f>ROUND(AS7/'3_Levels 1&amp;2'!C7,2)</f>
        <v>2663.91</v>
      </c>
    </row>
    <row r="8" spans="1:46" ht="15" customHeight="1" x14ac:dyDescent="0.2">
      <c r="A8" s="738">
        <v>2</v>
      </c>
      <c r="B8" s="760" t="s">
        <v>132</v>
      </c>
      <c r="C8" s="740">
        <f>VLOOKUP($A8,[6]Breakout!$A$4:$E$72,3,FALSE)</f>
        <v>149747580</v>
      </c>
      <c r="D8" s="740">
        <f>VLOOKUP($A8,[6]Breakout!$A$4:$E$72,4,FALSE)</f>
        <v>28845159</v>
      </c>
      <c r="E8" s="740">
        <f t="shared" ref="E8:E71" si="9">C8-D8</f>
        <v>120902421</v>
      </c>
      <c r="F8" s="740">
        <v>117773631</v>
      </c>
      <c r="G8" s="761">
        <f t="shared" ref="G8:G71" si="10">(E8-F8)/F8</f>
        <v>2.6566133466667086E-2</v>
      </c>
      <c r="H8" s="762">
        <f t="shared" si="1"/>
        <v>120902421</v>
      </c>
      <c r="I8" s="763">
        <f>VLOOKUP($A8,[7]Sheet1!$B$2:$U$70,3,FALSE)</f>
        <v>4.28</v>
      </c>
      <c r="J8" s="764">
        <f>VLOOKUP($A8,[7]Sheet1!$B$2:$U$70,4,FALSE)</f>
        <v>502717</v>
      </c>
      <c r="K8" s="763">
        <f>VLOOKUP($A8,[7]Sheet1!$B$2:$U$70,5,FALSE)</f>
        <v>5.15</v>
      </c>
      <c r="L8" s="764">
        <f>VLOOKUP($A8,[7]Sheet1!$B$2:$U$70,6,FALSE)</f>
        <v>607311</v>
      </c>
      <c r="M8" s="765">
        <f>VLOOKUP($A8,[7]Sheet1!$B$2:$U$70,7,FALSE)</f>
        <v>0</v>
      </c>
      <c r="N8" s="765">
        <f>VLOOKUP($A8,[7]Sheet1!$B$2:$U$70,8,FALSE)</f>
        <v>91.41</v>
      </c>
      <c r="O8" s="765">
        <f>VLOOKUP($A8,[7]Sheet1!$B$2:$U$70,9,FALSE)</f>
        <v>6</v>
      </c>
      <c r="P8" s="764">
        <f>VLOOKUP($A8,[7]Sheet1!$B$2:$U$70,10,FALSE)</f>
        <v>2412017</v>
      </c>
      <c r="Q8" s="740">
        <f t="shared" ref="Q8:Q71" si="11">J8+L8+P8</f>
        <v>3522045</v>
      </c>
      <c r="R8" s="765">
        <f>VLOOKUP($A8,[7]Sheet1!$B$2:$U$70,11,FALSE)</f>
        <v>0</v>
      </c>
      <c r="S8" s="764">
        <f>VLOOKUP($A8,[7]Sheet1!$B$2:$U$70,12,FALSE)</f>
        <v>0</v>
      </c>
      <c r="T8" s="765">
        <f>VLOOKUP($A8,[7]Sheet1!$B$2:$U$70,13,FALSE)</f>
        <v>0</v>
      </c>
      <c r="U8" s="765">
        <f>VLOOKUP($A8,[7]Sheet1!$B$2:$U$70,14,FALSE)</f>
        <v>42</v>
      </c>
      <c r="V8" s="765">
        <f>VLOOKUP($A8,[7]Sheet1!$B$2:$U$70,15,FALSE)</f>
        <v>5</v>
      </c>
      <c r="W8" s="764">
        <f>VLOOKUP($A8,[7]Sheet1!$B$2:$U$70,16,FALSE)</f>
        <v>2257365</v>
      </c>
      <c r="X8" s="740">
        <f t="shared" ref="X8:X71" si="12">S8+W8</f>
        <v>2257365</v>
      </c>
      <c r="Y8" s="767">
        <f t="shared" ref="Y8:Z71" si="13">I8+K8+R8</f>
        <v>9.43</v>
      </c>
      <c r="Z8" s="740">
        <f t="shared" si="13"/>
        <v>1110028</v>
      </c>
      <c r="AA8" s="740">
        <f t="shared" ref="AA8:AA71" si="14">P8+W8</f>
        <v>4669382</v>
      </c>
      <c r="AB8" s="768">
        <f t="shared" si="2"/>
        <v>18.670000000000002</v>
      </c>
      <c r="AC8" s="769">
        <f t="shared" si="3"/>
        <v>29.13</v>
      </c>
      <c r="AD8" s="770">
        <f t="shared" si="4"/>
        <v>47.8</v>
      </c>
      <c r="AE8" s="771">
        <f>VLOOKUP($A8,[8]Sheet1!$A$3:$H$71,4,FALSE)</f>
        <v>0</v>
      </c>
      <c r="AF8" s="771">
        <f t="shared" ref="AF8:AF71" si="15">X8+Q8+AE8</f>
        <v>5779410</v>
      </c>
      <c r="AG8" s="772">
        <f>VLOOKUP($A8,[7]Sheet1!$B$2:$U$70,17,FALSE)</f>
        <v>0.03</v>
      </c>
      <c r="AH8" s="38">
        <f>VLOOKUP($A8,[7]Sheet1!$B$2:$U$70,18,FALSE)</f>
        <v>7690491</v>
      </c>
      <c r="AI8" s="38">
        <f>VLOOKUP($A8,[7]Sheet1!$B$2:$U$70,19,FALSE)</f>
        <v>0</v>
      </c>
      <c r="AJ8" s="38">
        <f>VLOOKUP($A8,[8]Sheet1!$A$3:$H$71,7,FALSE)</f>
        <v>0</v>
      </c>
      <c r="AK8" s="773">
        <f t="shared" ref="AK8:AK71" si="16">AH8+AI8+AJ8</f>
        <v>7690491</v>
      </c>
      <c r="AL8" s="771">
        <v>284657280</v>
      </c>
      <c r="AM8" s="771">
        <f t="shared" si="5"/>
        <v>256349700</v>
      </c>
      <c r="AN8" s="774">
        <f t="shared" ref="AN8:AN71" si="17">(AM8-AL8)/AL8</f>
        <v>-9.9444426645262679E-2</v>
      </c>
      <c r="AO8" s="771">
        <f t="shared" ref="AO8:AO71" si="18">IF((AM8-AL8)/AL8&gt;$AO$3,AL8*(1+$AO$3),AM8)</f>
        <v>256349700</v>
      </c>
      <c r="AP8" s="761">
        <f t="shared" si="6"/>
        <v>0.03</v>
      </c>
      <c r="AQ8" s="761">
        <f t="shared" si="7"/>
        <v>0</v>
      </c>
      <c r="AR8" s="771">
        <f>VLOOKUP($A8,[7]Sheet1!$B$2:$U$70,20,FALSE)</f>
        <v>88467</v>
      </c>
      <c r="AS8" s="771">
        <f t="shared" si="8"/>
        <v>13558368</v>
      </c>
      <c r="AT8" s="771">
        <f>ROUND(AS8/'3_Levels 1&amp;2'!C8,2)</f>
        <v>3490.83</v>
      </c>
    </row>
    <row r="9" spans="1:46" ht="15" customHeight="1" x14ac:dyDescent="0.2">
      <c r="A9" s="738">
        <v>3</v>
      </c>
      <c r="B9" s="760" t="s">
        <v>133</v>
      </c>
      <c r="C9" s="740">
        <f>VLOOKUP($A9,[6]Breakout!$A$4:$E$72,3,FALSE)</f>
        <v>1681459890</v>
      </c>
      <c r="D9" s="740">
        <f>VLOOKUP($A9,[6]Breakout!$A$4:$E$72,4,FALSE)</f>
        <v>234537693</v>
      </c>
      <c r="E9" s="740">
        <f t="shared" si="9"/>
        <v>1446922197</v>
      </c>
      <c r="F9" s="740">
        <v>1315203755</v>
      </c>
      <c r="G9" s="761">
        <f t="shared" si="10"/>
        <v>0.10015059757793955</v>
      </c>
      <c r="H9" s="762">
        <f t="shared" si="1"/>
        <v>1446724130.5</v>
      </c>
      <c r="I9" s="763">
        <f>VLOOKUP($A9,[7]Sheet1!$B$2:$U$70,3,FALSE)</f>
        <v>3.61</v>
      </c>
      <c r="J9" s="764">
        <f>VLOOKUP($A9,[7]Sheet1!$B$2:$U$70,4,FALSE)</f>
        <v>5171675</v>
      </c>
      <c r="K9" s="763">
        <f>VLOOKUP($A9,[7]Sheet1!$B$2:$U$70,5,FALSE)</f>
        <v>42.9</v>
      </c>
      <c r="L9" s="764">
        <f>VLOOKUP($A9,[7]Sheet1!$B$2:$U$70,6,FALSE)</f>
        <v>61458336</v>
      </c>
      <c r="M9" s="765">
        <f>VLOOKUP($A9,[7]Sheet1!$B$2:$U$70,7,FALSE)</f>
        <v>0</v>
      </c>
      <c r="N9" s="765">
        <f>VLOOKUP($A9,[7]Sheet1!$B$2:$U$70,8,FALSE)</f>
        <v>0</v>
      </c>
      <c r="O9" s="765">
        <f>VLOOKUP($A9,[7]Sheet1!$B$2:$U$70,9,FALSE)</f>
        <v>0</v>
      </c>
      <c r="P9" s="764">
        <f>VLOOKUP($A9,[7]Sheet1!$B$2:$U$70,10,FALSE)</f>
        <v>0</v>
      </c>
      <c r="Q9" s="740">
        <f t="shared" si="11"/>
        <v>66630011</v>
      </c>
      <c r="R9" s="765">
        <f>VLOOKUP($A9,[7]Sheet1!$B$2:$U$70,11,FALSE)</f>
        <v>15.08</v>
      </c>
      <c r="S9" s="764">
        <f>VLOOKUP($A9,[7]Sheet1!$B$2:$U$70,12,FALSE)</f>
        <v>21603664</v>
      </c>
      <c r="T9" s="765">
        <f>VLOOKUP($A9,[7]Sheet1!$B$2:$U$70,13,FALSE)</f>
        <v>0</v>
      </c>
      <c r="U9" s="765">
        <f>VLOOKUP($A9,[7]Sheet1!$B$2:$U$70,14,FALSE)</f>
        <v>0</v>
      </c>
      <c r="V9" s="765">
        <f>VLOOKUP($A9,[7]Sheet1!$B$2:$U$70,15,FALSE)</f>
        <v>0</v>
      </c>
      <c r="W9" s="764">
        <f>VLOOKUP($A9,[7]Sheet1!$B$2:$U$70,16,FALSE)</f>
        <v>0</v>
      </c>
      <c r="X9" s="740">
        <f t="shared" si="12"/>
        <v>21603664</v>
      </c>
      <c r="Y9" s="767">
        <f t="shared" si="13"/>
        <v>61.589999999999996</v>
      </c>
      <c r="Z9" s="740">
        <f t="shared" si="13"/>
        <v>88233675</v>
      </c>
      <c r="AA9" s="740">
        <f t="shared" si="14"/>
        <v>0</v>
      </c>
      <c r="AB9" s="768">
        <f t="shared" si="2"/>
        <v>14.93</v>
      </c>
      <c r="AC9" s="769">
        <f t="shared" si="3"/>
        <v>46.05</v>
      </c>
      <c r="AD9" s="770">
        <f t="shared" si="4"/>
        <v>60.98</v>
      </c>
      <c r="AE9" s="771">
        <f>VLOOKUP($A9,[8]Sheet1!$A$3:$H$71,4,FALSE)</f>
        <v>0</v>
      </c>
      <c r="AF9" s="771">
        <f t="shared" si="15"/>
        <v>88233675</v>
      </c>
      <c r="AG9" s="772">
        <f>VLOOKUP($A9,[7]Sheet1!$B$2:$U$70,17,FALSE)</f>
        <v>0.02</v>
      </c>
      <c r="AH9" s="38">
        <f>VLOOKUP($A9,[7]Sheet1!$B$2:$U$70,18,FALSE)</f>
        <v>66829877</v>
      </c>
      <c r="AI9" s="38">
        <f>VLOOKUP($A9,[7]Sheet1!$B$2:$U$70,19,FALSE)</f>
        <v>0</v>
      </c>
      <c r="AJ9" s="38">
        <f>VLOOKUP($A9,[8]Sheet1!$A$3:$H$71,7,FALSE)</f>
        <v>0</v>
      </c>
      <c r="AK9" s="773">
        <f t="shared" si="16"/>
        <v>66829877</v>
      </c>
      <c r="AL9" s="771">
        <v>3507223950</v>
      </c>
      <c r="AM9" s="771">
        <f t="shared" si="5"/>
        <v>3341493850</v>
      </c>
      <c r="AN9" s="772">
        <f t="shared" si="17"/>
        <v>-4.7253925715236976E-2</v>
      </c>
      <c r="AO9" s="771">
        <f t="shared" si="18"/>
        <v>3341493850</v>
      </c>
      <c r="AP9" s="761">
        <f t="shared" si="6"/>
        <v>0.02</v>
      </c>
      <c r="AQ9" s="761">
        <f t="shared" si="7"/>
        <v>0</v>
      </c>
      <c r="AR9" s="771">
        <f>VLOOKUP($A9,[7]Sheet1!$B$2:$U$70,20,FALSE)</f>
        <v>207737</v>
      </c>
      <c r="AS9" s="771">
        <f t="shared" si="8"/>
        <v>155271289</v>
      </c>
      <c r="AT9" s="771">
        <f>ROUND(AS9/'3_Levels 1&amp;2'!C9,2)</f>
        <v>6749.75</v>
      </c>
    </row>
    <row r="10" spans="1:46" ht="15" customHeight="1" x14ac:dyDescent="0.2">
      <c r="A10" s="738">
        <v>4</v>
      </c>
      <c r="B10" s="760" t="s">
        <v>134</v>
      </c>
      <c r="C10" s="740">
        <f>VLOOKUP($A10,[6]Breakout!$A$4:$E$72,3,FALSE)</f>
        <v>236934247</v>
      </c>
      <c r="D10" s="740">
        <f>VLOOKUP($A10,[6]Breakout!$A$4:$E$72,4,FALSE)</f>
        <v>36996236</v>
      </c>
      <c r="E10" s="740">
        <f t="shared" si="9"/>
        <v>199938011</v>
      </c>
      <c r="F10" s="740">
        <v>200949683</v>
      </c>
      <c r="G10" s="761">
        <f t="shared" si="10"/>
        <v>-5.0344543215825825E-3</v>
      </c>
      <c r="H10" s="762">
        <f t="shared" si="1"/>
        <v>199938011</v>
      </c>
      <c r="I10" s="763">
        <f>VLOOKUP($A10,[7]Sheet1!$B$2:$U$70,3,FALSE)</f>
        <v>5.49</v>
      </c>
      <c r="J10" s="764">
        <f>VLOOKUP($A10,[7]Sheet1!$B$2:$U$70,4,FALSE)</f>
        <v>1080570</v>
      </c>
      <c r="K10" s="763">
        <f>VLOOKUP($A10,[7]Sheet1!$B$2:$U$70,5,FALSE)</f>
        <v>33.880000000000003</v>
      </c>
      <c r="L10" s="764">
        <f>VLOOKUP($A10,[7]Sheet1!$B$2:$U$70,6,FALSE)</f>
        <v>6654898</v>
      </c>
      <c r="M10" s="765">
        <f>VLOOKUP($A10,[7]Sheet1!$B$2:$U$70,7,FALSE)</f>
        <v>0</v>
      </c>
      <c r="N10" s="765">
        <f>VLOOKUP($A10,[7]Sheet1!$B$2:$U$70,8,FALSE)</f>
        <v>0</v>
      </c>
      <c r="O10" s="765">
        <f>VLOOKUP($A10,[7]Sheet1!$B$2:$U$70,9,FALSE)</f>
        <v>0</v>
      </c>
      <c r="P10" s="764">
        <f>VLOOKUP($A10,[7]Sheet1!$B$2:$U$70,10,FALSE)</f>
        <v>0</v>
      </c>
      <c r="Q10" s="740">
        <f t="shared" si="11"/>
        <v>7735468</v>
      </c>
      <c r="R10" s="765">
        <f>VLOOKUP($A10,[7]Sheet1!$B$2:$U$70,11,FALSE)</f>
        <v>0</v>
      </c>
      <c r="S10" s="764">
        <f>VLOOKUP($A10,[7]Sheet1!$B$2:$U$70,12,FALSE)</f>
        <v>0</v>
      </c>
      <c r="T10" s="765">
        <f>VLOOKUP($A10,[7]Sheet1!$B$2:$U$70,13,FALSE)</f>
        <v>0</v>
      </c>
      <c r="U10" s="765">
        <f>VLOOKUP($A10,[7]Sheet1!$B$2:$U$70,14,FALSE)</f>
        <v>0</v>
      </c>
      <c r="V10" s="765">
        <f>VLOOKUP($A10,[7]Sheet1!$B$2:$U$70,15,FALSE)</f>
        <v>0</v>
      </c>
      <c r="W10" s="764">
        <f>VLOOKUP($A10,[7]Sheet1!$B$2:$U$70,16,FALSE)</f>
        <v>0</v>
      </c>
      <c r="X10" s="740">
        <f t="shared" si="12"/>
        <v>0</v>
      </c>
      <c r="Y10" s="767">
        <f t="shared" si="13"/>
        <v>39.370000000000005</v>
      </c>
      <c r="Z10" s="740">
        <f t="shared" si="13"/>
        <v>7735468</v>
      </c>
      <c r="AA10" s="740">
        <f t="shared" si="14"/>
        <v>0</v>
      </c>
      <c r="AB10" s="768">
        <f t="shared" si="2"/>
        <v>0</v>
      </c>
      <c r="AC10" s="769">
        <f t="shared" si="3"/>
        <v>38.69</v>
      </c>
      <c r="AD10" s="770">
        <f t="shared" si="4"/>
        <v>38.69</v>
      </c>
      <c r="AE10" s="771">
        <f>VLOOKUP($A10,[8]Sheet1!$A$3:$H$71,4,FALSE)</f>
        <v>0</v>
      </c>
      <c r="AF10" s="771">
        <f t="shared" si="15"/>
        <v>7735468</v>
      </c>
      <c r="AG10" s="772">
        <f>VLOOKUP($A10,[7]Sheet1!$B$2:$U$70,17,FALSE)</f>
        <v>0.03</v>
      </c>
      <c r="AH10" s="38">
        <f>VLOOKUP($A10,[7]Sheet1!$B$2:$U$70,18,FALSE)</f>
        <v>6525482</v>
      </c>
      <c r="AI10" s="38">
        <f>VLOOKUP($A10,[7]Sheet1!$B$2:$U$70,19,FALSE)</f>
        <v>0</v>
      </c>
      <c r="AJ10" s="38">
        <f>VLOOKUP($A10,[8]Sheet1!$A$3:$H$71,7,FALSE)</f>
        <v>0</v>
      </c>
      <c r="AK10" s="773">
        <f t="shared" si="16"/>
        <v>6525482</v>
      </c>
      <c r="AL10" s="771">
        <v>253844933</v>
      </c>
      <c r="AM10" s="771">
        <f t="shared" si="5"/>
        <v>217516067</v>
      </c>
      <c r="AN10" s="772">
        <f t="shared" si="17"/>
        <v>-0.14311440283899621</v>
      </c>
      <c r="AO10" s="771">
        <f t="shared" si="18"/>
        <v>217516067</v>
      </c>
      <c r="AP10" s="761">
        <f t="shared" si="6"/>
        <v>2.9999999954026385E-2</v>
      </c>
      <c r="AQ10" s="761">
        <f t="shared" si="7"/>
        <v>0</v>
      </c>
      <c r="AR10" s="771">
        <f>VLOOKUP($A10,[7]Sheet1!$B$2:$U$70,20,FALSE)</f>
        <v>105111</v>
      </c>
      <c r="AS10" s="771">
        <f t="shared" si="8"/>
        <v>14366061</v>
      </c>
      <c r="AT10" s="771">
        <f>ROUND(AS10/'3_Levels 1&amp;2'!C10,2)</f>
        <v>4851.76</v>
      </c>
    </row>
    <row r="11" spans="1:46" ht="15" customHeight="1" x14ac:dyDescent="0.2">
      <c r="A11" s="742">
        <v>5</v>
      </c>
      <c r="B11" s="775" t="s">
        <v>135</v>
      </c>
      <c r="C11" s="744">
        <f>VLOOKUP($A11,[6]Breakout!$A$4:$E$72,3,FALSE)</f>
        <v>211542680</v>
      </c>
      <c r="D11" s="744">
        <f>VLOOKUP($A11,[6]Breakout!$A$4:$E$72,4,FALSE)</f>
        <v>61635999</v>
      </c>
      <c r="E11" s="744">
        <f t="shared" si="9"/>
        <v>149906681</v>
      </c>
      <c r="F11" s="744">
        <v>145204264</v>
      </c>
      <c r="G11" s="776">
        <f t="shared" si="10"/>
        <v>3.2384840985110463E-2</v>
      </c>
      <c r="H11" s="777">
        <f t="shared" si="1"/>
        <v>149906681</v>
      </c>
      <c r="I11" s="778">
        <f>VLOOKUP($A11,[7]Sheet1!$B$2:$U$70,3,FALSE)</f>
        <v>3.62</v>
      </c>
      <c r="J11" s="779">
        <f>VLOOKUP($A11,[7]Sheet1!$B$2:$U$70,4,FALSE)</f>
        <v>538574</v>
      </c>
      <c r="K11" s="778">
        <f>VLOOKUP($A11,[7]Sheet1!$B$2:$U$70,5,FALSE)</f>
        <v>20</v>
      </c>
      <c r="L11" s="779">
        <f>VLOOKUP($A11,[7]Sheet1!$B$2:$U$70,6,FALSE)</f>
        <v>2975463</v>
      </c>
      <c r="M11" s="780">
        <f>VLOOKUP($A11,[7]Sheet1!$B$2:$U$70,7,FALSE)</f>
        <v>0</v>
      </c>
      <c r="N11" s="780">
        <f>VLOOKUP($A11,[7]Sheet1!$B$2:$U$70,8,FALSE)</f>
        <v>0</v>
      </c>
      <c r="O11" s="780">
        <f>VLOOKUP($A11,[7]Sheet1!$B$2:$U$70,9,FALSE)</f>
        <v>0</v>
      </c>
      <c r="P11" s="779">
        <f>VLOOKUP($A11,[7]Sheet1!$B$2:$U$70,10,FALSE)</f>
        <v>0</v>
      </c>
      <c r="Q11" s="744">
        <f t="shared" si="11"/>
        <v>3514037</v>
      </c>
      <c r="R11" s="780">
        <f>VLOOKUP($A11,[7]Sheet1!$B$2:$U$70,11,FALSE)</f>
        <v>0</v>
      </c>
      <c r="S11" s="779">
        <f>VLOOKUP($A11,[7]Sheet1!$B$2:$U$70,12,FALSE)</f>
        <v>0</v>
      </c>
      <c r="T11" s="780">
        <f>VLOOKUP($A11,[7]Sheet1!$B$2:$U$70,13,FALSE)</f>
        <v>0</v>
      </c>
      <c r="U11" s="780">
        <f>VLOOKUP($A11,[7]Sheet1!$B$2:$U$70,14,FALSE)</f>
        <v>0</v>
      </c>
      <c r="V11" s="780">
        <f>VLOOKUP($A11,[7]Sheet1!$B$2:$U$70,15,FALSE)</f>
        <v>0</v>
      </c>
      <c r="W11" s="779">
        <f>VLOOKUP($A11,[7]Sheet1!$B$2:$U$70,16,FALSE)</f>
        <v>0</v>
      </c>
      <c r="X11" s="744">
        <f t="shared" si="12"/>
        <v>0</v>
      </c>
      <c r="Y11" s="781">
        <f t="shared" si="13"/>
        <v>23.62</v>
      </c>
      <c r="Z11" s="744">
        <f t="shared" si="13"/>
        <v>3514037</v>
      </c>
      <c r="AA11" s="744">
        <f t="shared" si="14"/>
        <v>0</v>
      </c>
      <c r="AB11" s="782">
        <f t="shared" si="2"/>
        <v>0</v>
      </c>
      <c r="AC11" s="783">
        <f t="shared" si="3"/>
        <v>23.44</v>
      </c>
      <c r="AD11" s="784">
        <f t="shared" si="4"/>
        <v>23.44</v>
      </c>
      <c r="AE11" s="785">
        <f>VLOOKUP($A11,[8]Sheet1!$A$3:$H$71,4,FALSE)</f>
        <v>0</v>
      </c>
      <c r="AF11" s="785">
        <f t="shared" si="15"/>
        <v>3514037</v>
      </c>
      <c r="AG11" s="786">
        <f>VLOOKUP($A11,[7]Sheet1!$B$2:$U$70,17,FALSE)</f>
        <v>1.7500000000000002E-2</v>
      </c>
      <c r="AH11" s="787">
        <f>VLOOKUP($A11,[7]Sheet1!$B$2:$U$70,18,FALSE)</f>
        <v>8351435</v>
      </c>
      <c r="AI11" s="787">
        <f>VLOOKUP($A11,[7]Sheet1!$B$2:$U$70,19,FALSE)</f>
        <v>0</v>
      </c>
      <c r="AJ11" s="787">
        <f>VLOOKUP($A11,[8]Sheet1!$A$3:$H$71,7,FALSE)</f>
        <v>0</v>
      </c>
      <c r="AK11" s="788">
        <f t="shared" si="16"/>
        <v>8351435</v>
      </c>
      <c r="AL11" s="785">
        <v>456432971</v>
      </c>
      <c r="AM11" s="785">
        <f t="shared" si="5"/>
        <v>477224857</v>
      </c>
      <c r="AN11" s="786">
        <f t="shared" si="17"/>
        <v>4.5552988765134583E-2</v>
      </c>
      <c r="AO11" s="785">
        <f t="shared" si="18"/>
        <v>477224857</v>
      </c>
      <c r="AP11" s="776">
        <f t="shared" si="6"/>
        <v>1.750000000523862E-2</v>
      </c>
      <c r="AQ11" s="776">
        <f t="shared" si="7"/>
        <v>0</v>
      </c>
      <c r="AR11" s="785">
        <f>VLOOKUP($A11,[7]Sheet1!$B$2:$U$70,20,FALSE)</f>
        <v>407317</v>
      </c>
      <c r="AS11" s="785">
        <f t="shared" si="8"/>
        <v>12272789</v>
      </c>
      <c r="AT11" s="785">
        <f>ROUND(AS11/'3_Levels 1&amp;2'!C11,2)</f>
        <v>2349.7600000000002</v>
      </c>
    </row>
    <row r="12" spans="1:46" ht="15" customHeight="1" x14ac:dyDescent="0.2">
      <c r="A12" s="738">
        <v>6</v>
      </c>
      <c r="B12" s="760" t="s">
        <v>136</v>
      </c>
      <c r="C12" s="740">
        <f>VLOOKUP($A12,[6]Breakout!$A$4:$E$72,3,FALSE)</f>
        <v>332507625</v>
      </c>
      <c r="D12" s="740">
        <f>VLOOKUP($A12,[6]Breakout!$A$4:$E$72,4,FALSE)</f>
        <v>58026179</v>
      </c>
      <c r="E12" s="740">
        <f t="shared" si="9"/>
        <v>274481446</v>
      </c>
      <c r="F12" s="740">
        <v>262629316</v>
      </c>
      <c r="G12" s="761">
        <f t="shared" si="10"/>
        <v>4.5128739550157455E-2</v>
      </c>
      <c r="H12" s="762">
        <f t="shared" si="1"/>
        <v>274481446</v>
      </c>
      <c r="I12" s="763">
        <f>VLOOKUP($A12,[7]Sheet1!$B$2:$U$70,3,FALSE)</f>
        <v>4.8600000000000003</v>
      </c>
      <c r="J12" s="764">
        <f>VLOOKUP($A12,[7]Sheet1!$B$2:$U$70,4,FALSE)</f>
        <v>1353324</v>
      </c>
      <c r="K12" s="763">
        <f>VLOOKUP($A12,[7]Sheet1!$B$2:$U$70,5,FALSE)</f>
        <v>30.12</v>
      </c>
      <c r="L12" s="764">
        <f>VLOOKUP($A12,[7]Sheet1!$B$2:$U$70,6,FALSE)</f>
        <v>8396941</v>
      </c>
      <c r="M12" s="765">
        <f>VLOOKUP($A12,[7]Sheet1!$B$2:$U$70,7,FALSE)</f>
        <v>0</v>
      </c>
      <c r="N12" s="765">
        <f>VLOOKUP($A12,[7]Sheet1!$B$2:$U$70,8,FALSE)</f>
        <v>0</v>
      </c>
      <c r="O12" s="765">
        <f>VLOOKUP($A12,[7]Sheet1!$B$2:$U$70,9,FALSE)</f>
        <v>0</v>
      </c>
      <c r="P12" s="764">
        <f>VLOOKUP($A12,[7]Sheet1!$B$2:$U$70,10,FALSE)</f>
        <v>0</v>
      </c>
      <c r="Q12" s="740">
        <f t="shared" si="11"/>
        <v>9750265</v>
      </c>
      <c r="R12" s="766">
        <f>VLOOKUP($A12,[7]Sheet1!$B$2:$U$70,11,FALSE)</f>
        <v>17.8</v>
      </c>
      <c r="S12" s="764">
        <f>VLOOKUP($A12,[7]Sheet1!$B$2:$U$70,12,FALSE)</f>
        <v>4694915</v>
      </c>
      <c r="T12" s="765">
        <f>VLOOKUP($A12,[7]Sheet1!$B$2:$U$70,13,FALSE)</f>
        <v>0</v>
      </c>
      <c r="U12" s="765">
        <f>VLOOKUP($A12,[7]Sheet1!$B$2:$U$70,14,FALSE)</f>
        <v>0</v>
      </c>
      <c r="V12" s="765">
        <f>VLOOKUP($A12,[7]Sheet1!$B$2:$U$70,15,FALSE)</f>
        <v>0</v>
      </c>
      <c r="W12" s="764">
        <f>VLOOKUP($A12,[7]Sheet1!$B$2:$U$70,16,FALSE)</f>
        <v>0</v>
      </c>
      <c r="X12" s="740">
        <f t="shared" si="12"/>
        <v>4694915</v>
      </c>
      <c r="Y12" s="767">
        <f t="shared" si="13"/>
        <v>52.78</v>
      </c>
      <c r="Z12" s="740">
        <f t="shared" si="13"/>
        <v>14445180</v>
      </c>
      <c r="AA12" s="740">
        <f t="shared" si="14"/>
        <v>0</v>
      </c>
      <c r="AB12" s="768">
        <f t="shared" si="2"/>
        <v>17.100000000000001</v>
      </c>
      <c r="AC12" s="769">
        <f t="shared" si="3"/>
        <v>35.520000000000003</v>
      </c>
      <c r="AD12" s="770">
        <f t="shared" si="4"/>
        <v>52.63</v>
      </c>
      <c r="AE12" s="771">
        <f>VLOOKUP($A12,[8]Sheet1!$A$3:$H$71,4,FALSE)</f>
        <v>0</v>
      </c>
      <c r="AF12" s="771">
        <f t="shared" si="15"/>
        <v>14445180</v>
      </c>
      <c r="AG12" s="772">
        <f>VLOOKUP($A12,[7]Sheet1!$B$2:$U$70,17,FALSE)</f>
        <v>0.02</v>
      </c>
      <c r="AH12" s="38">
        <f>VLOOKUP($A12,[7]Sheet1!$B$2:$U$70,18,FALSE)</f>
        <v>13503458</v>
      </c>
      <c r="AI12" s="38">
        <f>VLOOKUP($A12,[7]Sheet1!$B$2:$U$70,19,FALSE)</f>
        <v>0</v>
      </c>
      <c r="AJ12" s="38">
        <f>VLOOKUP($A12,[8]Sheet1!$A$3:$H$71,7,FALSE)</f>
        <v>0</v>
      </c>
      <c r="AK12" s="773">
        <f t="shared" si="16"/>
        <v>13503458</v>
      </c>
      <c r="AL12" s="771">
        <v>546791900</v>
      </c>
      <c r="AM12" s="771">
        <f t="shared" si="5"/>
        <v>675172900</v>
      </c>
      <c r="AN12" s="774">
        <f t="shared" si="17"/>
        <v>0.23478950584308217</v>
      </c>
      <c r="AO12" s="789">
        <f t="shared" si="18"/>
        <v>628810685</v>
      </c>
      <c r="AP12" s="761">
        <f t="shared" si="6"/>
        <v>0.02</v>
      </c>
      <c r="AQ12" s="761">
        <f t="shared" si="7"/>
        <v>0</v>
      </c>
      <c r="AR12" s="771">
        <f>VLOOKUP($A12,[7]Sheet1!$B$2:$U$70,20,FALSE)</f>
        <v>324659</v>
      </c>
      <c r="AS12" s="771">
        <f t="shared" si="8"/>
        <v>28273297</v>
      </c>
      <c r="AT12" s="771">
        <f>ROUND(AS12/'3_Levels 1&amp;2'!C12,2)</f>
        <v>5021.8999999999996</v>
      </c>
    </row>
    <row r="13" spans="1:46" ht="15" customHeight="1" x14ac:dyDescent="0.2">
      <c r="A13" s="738">
        <v>7</v>
      </c>
      <c r="B13" s="760" t="s">
        <v>137</v>
      </c>
      <c r="C13" s="740">
        <f>VLOOKUP($A13,[6]Breakout!$A$4:$E$72,3,FALSE)</f>
        <v>352885521</v>
      </c>
      <c r="D13" s="740">
        <f>VLOOKUP($A13,[6]Breakout!$A$4:$E$72,4,FALSE)</f>
        <v>17349959</v>
      </c>
      <c r="E13" s="740">
        <f t="shared" si="9"/>
        <v>335535562</v>
      </c>
      <c r="F13" s="740">
        <v>351463864</v>
      </c>
      <c r="G13" s="761">
        <f t="shared" si="10"/>
        <v>-4.5319885289828832E-2</v>
      </c>
      <c r="H13" s="762">
        <f t="shared" si="1"/>
        <v>335535562</v>
      </c>
      <c r="I13" s="763">
        <f>VLOOKUP($A13,[7]Sheet1!$B$2:$U$70,3,FALSE)</f>
        <v>5.88</v>
      </c>
      <c r="J13" s="764">
        <f>VLOOKUP($A13,[7]Sheet1!$B$2:$U$70,4,FALSE)</f>
        <v>1901310</v>
      </c>
      <c r="K13" s="763">
        <f>VLOOKUP($A13,[7]Sheet1!$B$2:$U$70,5,FALSE)</f>
        <v>7.79</v>
      </c>
      <c r="L13" s="764">
        <f>VLOOKUP($A13,[7]Sheet1!$B$2:$U$70,6,FALSE)</f>
        <v>17157050</v>
      </c>
      <c r="M13" s="765">
        <f>VLOOKUP($A13,[7]Sheet1!$B$2:$U$70,7,FALSE)</f>
        <v>0</v>
      </c>
      <c r="N13" s="765">
        <f>VLOOKUP($A13,[7]Sheet1!$B$2:$U$70,8,FALSE)</f>
        <v>0</v>
      </c>
      <c r="O13" s="765">
        <f>VLOOKUP($A13,[7]Sheet1!$B$2:$U$70,9,FALSE)</f>
        <v>0</v>
      </c>
      <c r="P13" s="764">
        <f>VLOOKUP($A13,[7]Sheet1!$B$2:$U$70,10,FALSE)</f>
        <v>0</v>
      </c>
      <c r="Q13" s="740">
        <f t="shared" si="11"/>
        <v>19058360</v>
      </c>
      <c r="R13" s="765">
        <f>VLOOKUP($A13,[7]Sheet1!$B$2:$U$70,11,FALSE)</f>
        <v>0</v>
      </c>
      <c r="S13" s="764">
        <f>VLOOKUP($A13,[7]Sheet1!$B$2:$U$70,12,FALSE)</f>
        <v>0</v>
      </c>
      <c r="T13" s="765">
        <f>VLOOKUP($A13,[7]Sheet1!$B$2:$U$70,13,FALSE)</f>
        <v>0</v>
      </c>
      <c r="U13" s="765">
        <f>VLOOKUP($A13,[7]Sheet1!$B$2:$U$70,14,FALSE)</f>
        <v>48</v>
      </c>
      <c r="V13" s="765">
        <f>VLOOKUP($A13,[7]Sheet1!$B$2:$U$70,15,FALSE)</f>
        <v>4</v>
      </c>
      <c r="W13" s="764">
        <f>VLOOKUP($A13,[7]Sheet1!$B$2:$U$70,16,FALSE)</f>
        <v>2225202</v>
      </c>
      <c r="X13" s="740">
        <f t="shared" si="12"/>
        <v>2225202</v>
      </c>
      <c r="Y13" s="767">
        <f t="shared" si="13"/>
        <v>13.67</v>
      </c>
      <c r="Z13" s="740">
        <f t="shared" si="13"/>
        <v>19058360</v>
      </c>
      <c r="AA13" s="740">
        <f t="shared" si="14"/>
        <v>2225202</v>
      </c>
      <c r="AB13" s="768">
        <f t="shared" si="2"/>
        <v>6.63</v>
      </c>
      <c r="AC13" s="769">
        <f t="shared" si="3"/>
        <v>56.8</v>
      </c>
      <c r="AD13" s="770">
        <f t="shared" si="4"/>
        <v>63.43</v>
      </c>
      <c r="AE13" s="771">
        <f>VLOOKUP($A13,[8]Sheet1!$A$3:$H$71,4,FALSE)</f>
        <v>0</v>
      </c>
      <c r="AF13" s="771">
        <f t="shared" si="15"/>
        <v>21283562</v>
      </c>
      <c r="AG13" s="772">
        <f>VLOOKUP($A13,[7]Sheet1!$B$2:$U$70,17,FALSE)</f>
        <v>0.02</v>
      </c>
      <c r="AH13" s="38">
        <f>VLOOKUP($A13,[7]Sheet1!$B$2:$U$70,18,FALSE)</f>
        <v>4949752</v>
      </c>
      <c r="AI13" s="38">
        <f>VLOOKUP($A13,[7]Sheet1!$B$2:$U$70,19,FALSE)</f>
        <v>0</v>
      </c>
      <c r="AJ13" s="38">
        <f>VLOOKUP($A13,[8]Sheet1!$A$3:$H$71,7,FALSE)</f>
        <v>0</v>
      </c>
      <c r="AK13" s="773">
        <f t="shared" si="16"/>
        <v>4949752</v>
      </c>
      <c r="AL13" s="771">
        <v>202798100</v>
      </c>
      <c r="AM13" s="771">
        <f t="shared" si="5"/>
        <v>247487600</v>
      </c>
      <c r="AN13" s="774">
        <f t="shared" si="17"/>
        <v>0.22036449059433988</v>
      </c>
      <c r="AO13" s="789">
        <f t="shared" si="18"/>
        <v>233217814.99999997</v>
      </c>
      <c r="AP13" s="761">
        <f t="shared" si="6"/>
        <v>0.02</v>
      </c>
      <c r="AQ13" s="761">
        <f t="shared" si="7"/>
        <v>0</v>
      </c>
      <c r="AR13" s="771">
        <f>VLOOKUP($A13,[7]Sheet1!$B$2:$U$70,20,FALSE)</f>
        <v>163872</v>
      </c>
      <c r="AS13" s="771">
        <f t="shared" si="8"/>
        <v>26397186</v>
      </c>
      <c r="AT13" s="771">
        <f>ROUND(AS13/'3_Levels 1&amp;2'!C13,2)</f>
        <v>13413.2</v>
      </c>
    </row>
    <row r="14" spans="1:46" ht="15" customHeight="1" x14ac:dyDescent="0.2">
      <c r="A14" s="738">
        <v>8</v>
      </c>
      <c r="B14" s="760" t="s">
        <v>138</v>
      </c>
      <c r="C14" s="740">
        <f>VLOOKUP($A14,[6]Breakout!$A$4:$E$72,3,FALSE)</f>
        <v>1223770308</v>
      </c>
      <c r="D14" s="740">
        <f>VLOOKUP($A14,[6]Breakout!$A$4:$E$72,4,FALSE)</f>
        <v>196350635</v>
      </c>
      <c r="E14" s="740">
        <f t="shared" si="9"/>
        <v>1027419673</v>
      </c>
      <c r="F14" s="740">
        <v>987115313</v>
      </c>
      <c r="G14" s="761">
        <f t="shared" si="10"/>
        <v>4.0830447536578739E-2</v>
      </c>
      <c r="H14" s="762">
        <f t="shared" si="1"/>
        <v>1027419673</v>
      </c>
      <c r="I14" s="763">
        <f>VLOOKUP($A14,[7]Sheet1!$B$2:$U$70,3,FALSE)</f>
        <v>3.47</v>
      </c>
      <c r="J14" s="764">
        <f>VLOOKUP($A14,[7]Sheet1!$B$2:$U$70,4,FALSE)</f>
        <v>3506460</v>
      </c>
      <c r="K14" s="763">
        <f>VLOOKUP($A14,[7]Sheet1!$B$2:$U$70,5,FALSE)</f>
        <v>48.06</v>
      </c>
      <c r="L14" s="764">
        <f>VLOOKUP($A14,[7]Sheet1!$B$2:$U$70,6,FALSE)</f>
        <v>48564388</v>
      </c>
      <c r="M14" s="765">
        <f>VLOOKUP($A14,[7]Sheet1!$B$2:$U$70,7,FALSE)</f>
        <v>0</v>
      </c>
      <c r="N14" s="765">
        <f>VLOOKUP($A14,[7]Sheet1!$B$2:$U$70,8,FALSE)</f>
        <v>0</v>
      </c>
      <c r="O14" s="765">
        <f>VLOOKUP($A14,[7]Sheet1!$B$2:$U$70,9,FALSE)</f>
        <v>0</v>
      </c>
      <c r="P14" s="764">
        <f>VLOOKUP($A14,[7]Sheet1!$B$2:$U$70,10,FALSE)</f>
        <v>0</v>
      </c>
      <c r="Q14" s="740">
        <f t="shared" si="11"/>
        <v>52070848</v>
      </c>
      <c r="R14" s="765">
        <f>VLOOKUP($A14,[7]Sheet1!$B$2:$U$70,11,FALSE)</f>
        <v>13.83</v>
      </c>
      <c r="S14" s="764">
        <f>VLOOKUP($A14,[7]Sheet1!$B$2:$U$70,12,FALSE)</f>
        <v>13975342</v>
      </c>
      <c r="T14" s="765">
        <f>VLOOKUP($A14,[7]Sheet1!$B$2:$U$70,13,FALSE)</f>
        <v>0</v>
      </c>
      <c r="U14" s="765">
        <f>VLOOKUP($A14,[7]Sheet1!$B$2:$U$70,14,FALSE)</f>
        <v>0</v>
      </c>
      <c r="V14" s="765">
        <f>VLOOKUP($A14,[7]Sheet1!$B$2:$U$70,15,FALSE)</f>
        <v>0</v>
      </c>
      <c r="W14" s="764">
        <f>VLOOKUP($A14,[7]Sheet1!$B$2:$U$70,16,FALSE)</f>
        <v>0</v>
      </c>
      <c r="X14" s="740">
        <f t="shared" si="12"/>
        <v>13975342</v>
      </c>
      <c r="Y14" s="767">
        <f t="shared" si="13"/>
        <v>65.36</v>
      </c>
      <c r="Z14" s="740">
        <f t="shared" si="13"/>
        <v>66046190</v>
      </c>
      <c r="AA14" s="740">
        <f t="shared" si="14"/>
        <v>0</v>
      </c>
      <c r="AB14" s="768">
        <f t="shared" si="2"/>
        <v>13.6</v>
      </c>
      <c r="AC14" s="769">
        <f t="shared" si="3"/>
        <v>50.68</v>
      </c>
      <c r="AD14" s="770">
        <f t="shared" si="4"/>
        <v>64.28</v>
      </c>
      <c r="AE14" s="771">
        <f>VLOOKUP($A14,[8]Sheet1!$A$3:$H$71,4,FALSE)</f>
        <v>0</v>
      </c>
      <c r="AF14" s="771">
        <f t="shared" si="15"/>
        <v>66046190</v>
      </c>
      <c r="AG14" s="772">
        <f>VLOOKUP($A14,[7]Sheet1!$B$2:$U$70,17,FALSE)</f>
        <v>1.7500000000000002E-2</v>
      </c>
      <c r="AH14" s="38">
        <f>VLOOKUP($A14,[7]Sheet1!$B$2:$U$70,18,FALSE)</f>
        <v>48720733</v>
      </c>
      <c r="AI14" s="38">
        <f>VLOOKUP($A14,[7]Sheet1!$B$2:$U$70,19,FALSE)</f>
        <v>0</v>
      </c>
      <c r="AJ14" s="38">
        <f>VLOOKUP($A14,[8]Sheet1!$A$3:$H$71,7,FALSE)</f>
        <v>0</v>
      </c>
      <c r="AK14" s="773">
        <f t="shared" si="16"/>
        <v>48720733</v>
      </c>
      <c r="AL14" s="771">
        <v>2700834629</v>
      </c>
      <c r="AM14" s="771">
        <f t="shared" si="5"/>
        <v>2784041886</v>
      </c>
      <c r="AN14" s="772">
        <f t="shared" si="17"/>
        <v>3.0807979173018817E-2</v>
      </c>
      <c r="AO14" s="771">
        <f t="shared" si="18"/>
        <v>2784041886</v>
      </c>
      <c r="AP14" s="761">
        <f t="shared" si="6"/>
        <v>1.7499999998204049E-2</v>
      </c>
      <c r="AQ14" s="761">
        <f t="shared" si="7"/>
        <v>0</v>
      </c>
      <c r="AR14" s="771">
        <f>VLOOKUP($A14,[7]Sheet1!$B$2:$U$70,20,FALSE)</f>
        <v>696295</v>
      </c>
      <c r="AS14" s="771">
        <f t="shared" si="8"/>
        <v>115463218</v>
      </c>
      <c r="AT14" s="771">
        <f>ROUND(AS14/'3_Levels 1&amp;2'!C14,2)</f>
        <v>5234.05</v>
      </c>
    </row>
    <row r="15" spans="1:46" ht="15" customHeight="1" x14ac:dyDescent="0.2">
      <c r="A15" s="738">
        <v>9</v>
      </c>
      <c r="B15" s="760" t="s">
        <v>139</v>
      </c>
      <c r="C15" s="740">
        <f>VLOOKUP($A15,[6]Breakout!$A$4:$E$72,3,FALSE)</f>
        <v>2158335924</v>
      </c>
      <c r="D15" s="740">
        <f>VLOOKUP($A15,[6]Breakout!$A$4:$E$72,4,FALSE)</f>
        <v>334931547</v>
      </c>
      <c r="E15" s="740">
        <f t="shared" si="9"/>
        <v>1823404377</v>
      </c>
      <c r="F15" s="740">
        <v>1779917820</v>
      </c>
      <c r="G15" s="761">
        <f t="shared" si="10"/>
        <v>2.4431777979502446E-2</v>
      </c>
      <c r="H15" s="762">
        <f t="shared" si="1"/>
        <v>1823404377</v>
      </c>
      <c r="I15" s="763">
        <f>VLOOKUP($A15,[7]Sheet1!$B$2:$U$70,3,FALSE)</f>
        <v>7.7</v>
      </c>
      <c r="J15" s="764">
        <f>VLOOKUP($A15,[7]Sheet1!$B$2:$U$70,4,FALSE)</f>
        <v>14039441</v>
      </c>
      <c r="K15" s="763">
        <f>VLOOKUP($A15,[7]Sheet1!$B$2:$U$70,5,FALSE)</f>
        <v>61.12</v>
      </c>
      <c r="L15" s="764">
        <f>VLOOKUP($A15,[7]Sheet1!$B$2:$U$70,6,FALSE)</f>
        <v>111440344</v>
      </c>
      <c r="M15" s="765">
        <f>VLOOKUP($A15,[7]Sheet1!$B$2:$U$70,7,FALSE)</f>
        <v>0</v>
      </c>
      <c r="N15" s="765">
        <f>VLOOKUP($A15,[7]Sheet1!$B$2:$U$70,8,FALSE)</f>
        <v>0</v>
      </c>
      <c r="O15" s="765">
        <f>VLOOKUP($A15,[7]Sheet1!$B$2:$U$70,9,FALSE)</f>
        <v>0</v>
      </c>
      <c r="P15" s="764">
        <f>VLOOKUP($A15,[7]Sheet1!$B$2:$U$70,10,FALSE)</f>
        <v>0</v>
      </c>
      <c r="Q15" s="740">
        <f t="shared" si="11"/>
        <v>125479785</v>
      </c>
      <c r="R15" s="765">
        <f>VLOOKUP($A15,[7]Sheet1!$B$2:$U$70,11,FALSE)</f>
        <v>5</v>
      </c>
      <c r="S15" s="764">
        <f>VLOOKUP($A15,[7]Sheet1!$B$2:$U$70,12,FALSE)</f>
        <v>9116509</v>
      </c>
      <c r="T15" s="765">
        <f>VLOOKUP($A15,[7]Sheet1!$B$2:$U$70,13,FALSE)</f>
        <v>0</v>
      </c>
      <c r="U15" s="765">
        <f>VLOOKUP($A15,[7]Sheet1!$B$2:$U$70,14,FALSE)</f>
        <v>0</v>
      </c>
      <c r="V15" s="765">
        <f>VLOOKUP($A15,[7]Sheet1!$B$2:$U$70,15,FALSE)</f>
        <v>0</v>
      </c>
      <c r="W15" s="764">
        <f>VLOOKUP($A15,[7]Sheet1!$B$2:$U$70,16,FALSE)</f>
        <v>0</v>
      </c>
      <c r="X15" s="740">
        <f t="shared" si="12"/>
        <v>9116509</v>
      </c>
      <c r="Y15" s="767">
        <f t="shared" si="13"/>
        <v>73.819999999999993</v>
      </c>
      <c r="Z15" s="740">
        <f t="shared" si="13"/>
        <v>134596294</v>
      </c>
      <c r="AA15" s="740">
        <f t="shared" si="14"/>
        <v>0</v>
      </c>
      <c r="AB15" s="768">
        <f t="shared" si="2"/>
        <v>5</v>
      </c>
      <c r="AC15" s="769">
        <f t="shared" si="3"/>
        <v>68.819999999999993</v>
      </c>
      <c r="AD15" s="770">
        <f t="shared" si="4"/>
        <v>73.819999999999993</v>
      </c>
      <c r="AE15" s="771">
        <f>VLOOKUP($A15,[8]Sheet1!$A$3:$H$71,4,FALSE)</f>
        <v>0</v>
      </c>
      <c r="AF15" s="771">
        <f t="shared" si="15"/>
        <v>134596294</v>
      </c>
      <c r="AG15" s="772">
        <f>VLOOKUP($A15,[7]Sheet1!$B$2:$U$70,17,FALSE)</f>
        <v>1.4999999999999999E-2</v>
      </c>
      <c r="AH15" s="38">
        <f>VLOOKUP($A15,[7]Sheet1!$B$2:$U$70,18,FALSE)</f>
        <v>79496736</v>
      </c>
      <c r="AI15" s="38">
        <f>VLOOKUP($A15,[7]Sheet1!$B$2:$U$70,19,FALSE)</f>
        <v>0</v>
      </c>
      <c r="AJ15" s="38">
        <f>VLOOKUP($A15,[8]Sheet1!$A$3:$H$71,7,FALSE)</f>
        <v>0</v>
      </c>
      <c r="AK15" s="773">
        <f t="shared" si="16"/>
        <v>79496736</v>
      </c>
      <c r="AL15" s="771">
        <v>5305206333</v>
      </c>
      <c r="AM15" s="771">
        <f t="shared" si="5"/>
        <v>5299782400</v>
      </c>
      <c r="AN15" s="772">
        <f t="shared" si="17"/>
        <v>-1.0223792741597031E-3</v>
      </c>
      <c r="AO15" s="771">
        <f t="shared" si="18"/>
        <v>5299782400</v>
      </c>
      <c r="AP15" s="761">
        <f t="shared" si="6"/>
        <v>1.4999999999999999E-2</v>
      </c>
      <c r="AQ15" s="761">
        <f t="shared" si="7"/>
        <v>0</v>
      </c>
      <c r="AR15" s="771">
        <f>VLOOKUP($A15,[7]Sheet1!$B$2:$U$70,20,FALSE)</f>
        <v>3011992</v>
      </c>
      <c r="AS15" s="771">
        <f t="shared" si="8"/>
        <v>217105022</v>
      </c>
      <c r="AT15" s="771">
        <f>ROUND(AS15/'3_Levels 1&amp;2'!C15,2)</f>
        <v>5930.37</v>
      </c>
    </row>
    <row r="16" spans="1:46" ht="15" customHeight="1" x14ac:dyDescent="0.2">
      <c r="A16" s="742">
        <v>10</v>
      </c>
      <c r="B16" s="775" t="s">
        <v>140</v>
      </c>
      <c r="C16" s="744">
        <f>VLOOKUP($A16,[6]Breakout!$A$4:$E$72,3,FALSE)</f>
        <v>2756877559</v>
      </c>
      <c r="D16" s="744">
        <f>VLOOKUP($A16,[6]Breakout!$A$4:$E$72,4,FALSE)</f>
        <v>298051530</v>
      </c>
      <c r="E16" s="744">
        <f t="shared" si="9"/>
        <v>2458826029</v>
      </c>
      <c r="F16" s="744">
        <v>2242535002</v>
      </c>
      <c r="G16" s="776">
        <f t="shared" si="10"/>
        <v>9.6449342733603408E-2</v>
      </c>
      <c r="H16" s="777">
        <f t="shared" si="1"/>
        <v>2458826029</v>
      </c>
      <c r="I16" s="778">
        <f>VLOOKUP($A16,[7]Sheet1!$B$2:$U$70,3,FALSE)</f>
        <v>5.13</v>
      </c>
      <c r="J16" s="779">
        <f>VLOOKUP($A16,[7]Sheet1!$B$2:$U$70,4,FALSE)</f>
        <v>12348346</v>
      </c>
      <c r="K16" s="778">
        <f>VLOOKUP($A16,[7]Sheet1!$B$2:$U$70,5,FALSE)</f>
        <v>12.1</v>
      </c>
      <c r="L16" s="779">
        <f>VLOOKUP($A16,[7]Sheet1!$B$2:$U$70,6,FALSE)</f>
        <v>29167924</v>
      </c>
      <c r="M16" s="780">
        <f>VLOOKUP($A16,[7]Sheet1!$B$2:$U$70,7,FALSE)</f>
        <v>0</v>
      </c>
      <c r="N16" s="780">
        <f>VLOOKUP($A16,[7]Sheet1!$B$2:$U$70,8,FALSE)</f>
        <v>0</v>
      </c>
      <c r="O16" s="780">
        <f>VLOOKUP($A16,[7]Sheet1!$B$2:$U$70,9,FALSE)</f>
        <v>0</v>
      </c>
      <c r="P16" s="779">
        <f>VLOOKUP($A16,[7]Sheet1!$B$2:$U$70,10,FALSE)</f>
        <v>330141</v>
      </c>
      <c r="Q16" s="744">
        <f t="shared" si="11"/>
        <v>41846411</v>
      </c>
      <c r="R16" s="780">
        <f>VLOOKUP($A16,[7]Sheet1!$B$2:$U$70,11,FALSE)</f>
        <v>0</v>
      </c>
      <c r="S16" s="779">
        <f>VLOOKUP($A16,[7]Sheet1!$B$2:$U$70,12,FALSE)</f>
        <v>0</v>
      </c>
      <c r="T16" s="780">
        <f>VLOOKUP($A16,[7]Sheet1!$B$2:$U$70,13,FALSE)</f>
        <v>0</v>
      </c>
      <c r="U16" s="780">
        <f>VLOOKUP($A16,[7]Sheet1!$B$2:$U$70,14,FALSE)</f>
        <v>33.1</v>
      </c>
      <c r="V16" s="780">
        <f>VLOOKUP($A16,[7]Sheet1!$B$2:$U$70,15,FALSE)</f>
        <v>10</v>
      </c>
      <c r="W16" s="779">
        <f>VLOOKUP($A16,[7]Sheet1!$B$2:$U$70,16,FALSE)</f>
        <v>29692911</v>
      </c>
      <c r="X16" s="744">
        <f t="shared" si="12"/>
        <v>29692911</v>
      </c>
      <c r="Y16" s="781">
        <f t="shared" si="13"/>
        <v>17.23</v>
      </c>
      <c r="Z16" s="744">
        <f t="shared" si="13"/>
        <v>41516270</v>
      </c>
      <c r="AA16" s="744">
        <f t="shared" si="14"/>
        <v>30023052</v>
      </c>
      <c r="AB16" s="782">
        <f t="shared" si="2"/>
        <v>12.08</v>
      </c>
      <c r="AC16" s="783">
        <f t="shared" si="3"/>
        <v>17.02</v>
      </c>
      <c r="AD16" s="784">
        <f t="shared" si="4"/>
        <v>29.09</v>
      </c>
      <c r="AE16" s="785">
        <f>VLOOKUP($A16,[8]Sheet1!$A$3:$H$71,4,FALSE)</f>
        <v>0</v>
      </c>
      <c r="AF16" s="785">
        <f t="shared" si="15"/>
        <v>71539322</v>
      </c>
      <c r="AG16" s="786">
        <f>VLOOKUP($A16,[7]Sheet1!$B$2:$U$70,17,FALSE)</f>
        <v>2.5000000000000001E-2</v>
      </c>
      <c r="AH16" s="787">
        <f>VLOOKUP($A16,[7]Sheet1!$B$2:$U$70,18,FALSE)</f>
        <v>153260354</v>
      </c>
      <c r="AI16" s="787">
        <f>VLOOKUP($A16,[7]Sheet1!$B$2:$U$70,19,FALSE)</f>
        <v>0</v>
      </c>
      <c r="AJ16" s="787">
        <f>VLOOKUP($A16,[8]Sheet1!$A$3:$H$71,7,FALSE)</f>
        <v>0</v>
      </c>
      <c r="AK16" s="788">
        <f t="shared" si="16"/>
        <v>153260354</v>
      </c>
      <c r="AL16" s="785">
        <v>7089179320</v>
      </c>
      <c r="AM16" s="785">
        <f t="shared" si="5"/>
        <v>6130414160</v>
      </c>
      <c r="AN16" s="786">
        <f t="shared" si="17"/>
        <v>-0.13524346284980135</v>
      </c>
      <c r="AO16" s="785">
        <f t="shared" si="18"/>
        <v>6130414160</v>
      </c>
      <c r="AP16" s="776">
        <f t="shared" si="6"/>
        <v>2.5000000000000001E-2</v>
      </c>
      <c r="AQ16" s="776">
        <f t="shared" si="7"/>
        <v>0</v>
      </c>
      <c r="AR16" s="785">
        <f>VLOOKUP($A16,[7]Sheet1!$B$2:$U$70,20,FALSE)</f>
        <v>1029161</v>
      </c>
      <c r="AS16" s="785">
        <f t="shared" si="8"/>
        <v>225828837</v>
      </c>
      <c r="AT16" s="785">
        <f>ROUND(AS16/'3_Levels 1&amp;2'!C16,2)</f>
        <v>7845.37</v>
      </c>
    </row>
    <row r="17" spans="1:46" ht="15" customHeight="1" x14ac:dyDescent="0.2">
      <c r="A17" s="738">
        <v>11</v>
      </c>
      <c r="B17" s="760" t="s">
        <v>141</v>
      </c>
      <c r="C17" s="740">
        <f>VLOOKUP($A17,[6]Breakout!$A$4:$E$72,3,FALSE)</f>
        <v>78379413</v>
      </c>
      <c r="D17" s="740">
        <f>VLOOKUP($A17,[6]Breakout!$A$4:$E$72,4,FALSE)</f>
        <v>14806444</v>
      </c>
      <c r="E17" s="740">
        <f t="shared" si="9"/>
        <v>63572969</v>
      </c>
      <c r="F17" s="740">
        <v>61630077</v>
      </c>
      <c r="G17" s="761">
        <f t="shared" si="10"/>
        <v>3.1525062024504689E-2</v>
      </c>
      <c r="H17" s="762">
        <f t="shared" si="1"/>
        <v>63572969</v>
      </c>
      <c r="I17" s="763">
        <f>VLOOKUP($A17,[7]Sheet1!$B$2:$U$70,3,FALSE)</f>
        <v>5.4</v>
      </c>
      <c r="J17" s="764">
        <f>VLOOKUP($A17,[7]Sheet1!$B$2:$U$70,4,FALSE)</f>
        <v>303904</v>
      </c>
      <c r="K17" s="763">
        <f>VLOOKUP($A17,[7]Sheet1!$B$2:$U$70,5,FALSE)</f>
        <v>32.83</v>
      </c>
      <c r="L17" s="764">
        <f>VLOOKUP($A17,[7]Sheet1!$B$2:$U$70,6,FALSE)</f>
        <v>1847621</v>
      </c>
      <c r="M17" s="765">
        <f>VLOOKUP($A17,[7]Sheet1!$B$2:$U$70,7,FALSE)</f>
        <v>0</v>
      </c>
      <c r="N17" s="765">
        <f>VLOOKUP($A17,[7]Sheet1!$B$2:$U$70,8,FALSE)</f>
        <v>0</v>
      </c>
      <c r="O17" s="765">
        <f>VLOOKUP($A17,[7]Sheet1!$B$2:$U$70,9,FALSE)</f>
        <v>0</v>
      </c>
      <c r="P17" s="764">
        <f>VLOOKUP($A17,[7]Sheet1!$B$2:$U$70,10,FALSE)</f>
        <v>0</v>
      </c>
      <c r="Q17" s="740">
        <f t="shared" si="11"/>
        <v>2151525</v>
      </c>
      <c r="R17" s="766">
        <f>VLOOKUP($A17,[7]Sheet1!$B$2:$U$70,11,FALSE)</f>
        <v>14</v>
      </c>
      <c r="S17" s="764">
        <f>VLOOKUP($A17,[7]Sheet1!$B$2:$U$70,12,FALSE)</f>
        <v>787896</v>
      </c>
      <c r="T17" s="765">
        <f>VLOOKUP($A17,[7]Sheet1!$B$2:$U$70,13,FALSE)</f>
        <v>0</v>
      </c>
      <c r="U17" s="765">
        <f>VLOOKUP($A17,[7]Sheet1!$B$2:$U$70,14,FALSE)</f>
        <v>0</v>
      </c>
      <c r="V17" s="765">
        <f>VLOOKUP($A17,[7]Sheet1!$B$2:$U$70,15,FALSE)</f>
        <v>0</v>
      </c>
      <c r="W17" s="764">
        <f>VLOOKUP($A17,[7]Sheet1!$B$2:$U$70,16,FALSE)</f>
        <v>0</v>
      </c>
      <c r="X17" s="740">
        <f t="shared" si="12"/>
        <v>787896</v>
      </c>
      <c r="Y17" s="767">
        <f t="shared" si="13"/>
        <v>52.23</v>
      </c>
      <c r="Z17" s="740">
        <f t="shared" si="13"/>
        <v>2939421</v>
      </c>
      <c r="AA17" s="740">
        <f t="shared" si="14"/>
        <v>0</v>
      </c>
      <c r="AB17" s="768">
        <f t="shared" si="2"/>
        <v>12.39</v>
      </c>
      <c r="AC17" s="769">
        <f t="shared" si="3"/>
        <v>33.840000000000003</v>
      </c>
      <c r="AD17" s="770">
        <f t="shared" si="4"/>
        <v>46.24</v>
      </c>
      <c r="AE17" s="771">
        <f>VLOOKUP($A17,[8]Sheet1!$A$3:$H$71,4,FALSE)</f>
        <v>0</v>
      </c>
      <c r="AF17" s="771">
        <f t="shared" si="15"/>
        <v>2939421</v>
      </c>
      <c r="AG17" s="772">
        <f>VLOOKUP($A17,[7]Sheet1!$B$2:$U$70,17,FALSE)</f>
        <v>0.02</v>
      </c>
      <c r="AH17" s="38">
        <f>VLOOKUP($A17,[7]Sheet1!$B$2:$U$70,18,FALSE)</f>
        <v>2279931</v>
      </c>
      <c r="AI17" s="38">
        <f>VLOOKUP($A17,[7]Sheet1!$B$2:$U$70,19,FALSE)</f>
        <v>0</v>
      </c>
      <c r="AJ17" s="38">
        <f>VLOOKUP($A17,[8]Sheet1!$A$3:$H$71,7,FALSE)</f>
        <v>0</v>
      </c>
      <c r="AK17" s="773">
        <f t="shared" si="16"/>
        <v>2279931</v>
      </c>
      <c r="AL17" s="771">
        <v>113759700</v>
      </c>
      <c r="AM17" s="771">
        <f t="shared" si="5"/>
        <v>113996550</v>
      </c>
      <c r="AN17" s="774">
        <f t="shared" si="17"/>
        <v>2.0820202584922428E-3</v>
      </c>
      <c r="AO17" s="789">
        <f t="shared" si="18"/>
        <v>113996550</v>
      </c>
      <c r="AP17" s="761">
        <f t="shared" si="6"/>
        <v>0.02</v>
      </c>
      <c r="AQ17" s="761">
        <f t="shared" si="7"/>
        <v>0</v>
      </c>
      <c r="AR17" s="771">
        <f>VLOOKUP($A17,[7]Sheet1!$B$2:$U$70,20,FALSE)</f>
        <v>77554</v>
      </c>
      <c r="AS17" s="771">
        <f t="shared" si="8"/>
        <v>5296906</v>
      </c>
      <c r="AT17" s="771">
        <f>ROUND(AS17/'3_Levels 1&amp;2'!C17,2)</f>
        <v>3540.71</v>
      </c>
    </row>
    <row r="18" spans="1:46" ht="15" customHeight="1" x14ac:dyDescent="0.2">
      <c r="A18" s="738">
        <v>12</v>
      </c>
      <c r="B18" s="790" t="s">
        <v>142</v>
      </c>
      <c r="C18" s="740">
        <f>VLOOKUP($A18,[6]Breakout!$A$4:$E$72,3,FALSE)</f>
        <v>337139603</v>
      </c>
      <c r="D18" s="740">
        <f>VLOOKUP($A18,[6]Breakout!$A$4:$E$72,4,FALSE)</f>
        <v>12374637</v>
      </c>
      <c r="E18" s="740">
        <f t="shared" si="9"/>
        <v>324764966</v>
      </c>
      <c r="F18" s="740">
        <v>255217824</v>
      </c>
      <c r="G18" s="761">
        <f t="shared" si="10"/>
        <v>0.27250111653643749</v>
      </c>
      <c r="H18" s="762">
        <f t="shared" si="1"/>
        <v>280739606.40000004</v>
      </c>
      <c r="I18" s="763">
        <f>VLOOKUP($A18,[7]Sheet1!$B$2:$U$70,3,FALSE)</f>
        <v>4.84</v>
      </c>
      <c r="J18" s="764">
        <f>VLOOKUP($A18,[7]Sheet1!$B$2:$U$70,4,FALSE)</f>
        <v>1607470</v>
      </c>
      <c r="K18" s="763">
        <f>VLOOKUP($A18,[7]Sheet1!$B$2:$U$70,5,FALSE)</f>
        <v>29.46</v>
      </c>
      <c r="L18" s="764">
        <f>VLOOKUP($A18,[7]Sheet1!$B$2:$U$70,6,FALSE)</f>
        <v>9788048</v>
      </c>
      <c r="M18" s="765">
        <f>VLOOKUP($A18,[7]Sheet1!$B$2:$U$70,7,FALSE)</f>
        <v>0</v>
      </c>
      <c r="N18" s="765">
        <f>VLOOKUP($A18,[7]Sheet1!$B$2:$U$70,8,FALSE)</f>
        <v>0</v>
      </c>
      <c r="O18" s="765">
        <f>VLOOKUP($A18,[7]Sheet1!$B$2:$U$70,9,FALSE)</f>
        <v>0</v>
      </c>
      <c r="P18" s="764">
        <f>VLOOKUP($A18,[7]Sheet1!$B$2:$U$70,10,FALSE)</f>
        <v>0</v>
      </c>
      <c r="Q18" s="740">
        <f t="shared" si="11"/>
        <v>11395518</v>
      </c>
      <c r="R18" s="765">
        <f>VLOOKUP($A18,[7]Sheet1!$B$2:$U$70,11,FALSE)</f>
        <v>0</v>
      </c>
      <c r="S18" s="764">
        <f>VLOOKUP($A18,[7]Sheet1!$B$2:$U$70,12,FALSE)</f>
        <v>0</v>
      </c>
      <c r="T18" s="765">
        <f>VLOOKUP($A18,[7]Sheet1!$B$2:$U$70,13,FALSE)</f>
        <v>0</v>
      </c>
      <c r="U18" s="765">
        <f>VLOOKUP($A18,[7]Sheet1!$B$2:$U$70,14,FALSE)</f>
        <v>0</v>
      </c>
      <c r="V18" s="765">
        <f>VLOOKUP($A18,[7]Sheet1!$B$2:$U$70,15,FALSE)</f>
        <v>0</v>
      </c>
      <c r="W18" s="764">
        <f>VLOOKUP($A18,[7]Sheet1!$B$2:$U$70,16,FALSE)</f>
        <v>0</v>
      </c>
      <c r="X18" s="740">
        <f t="shared" si="12"/>
        <v>0</v>
      </c>
      <c r="Y18" s="767">
        <f t="shared" si="13"/>
        <v>34.299999999999997</v>
      </c>
      <c r="Z18" s="740">
        <f t="shared" si="13"/>
        <v>11395518</v>
      </c>
      <c r="AA18" s="740">
        <f t="shared" si="14"/>
        <v>0</v>
      </c>
      <c r="AB18" s="768">
        <f t="shared" si="2"/>
        <v>0</v>
      </c>
      <c r="AC18" s="769">
        <f t="shared" si="3"/>
        <v>35.090000000000003</v>
      </c>
      <c r="AD18" s="770">
        <f t="shared" si="4"/>
        <v>35.090000000000003</v>
      </c>
      <c r="AE18" s="771">
        <f>VLOOKUP($A18,[8]Sheet1!$A$3:$H$71,4,FALSE)</f>
        <v>0</v>
      </c>
      <c r="AF18" s="771">
        <f t="shared" si="15"/>
        <v>11395518</v>
      </c>
      <c r="AG18" s="772">
        <f>VLOOKUP($A18,[7]Sheet1!$B$2:$U$70,17,FALSE)</f>
        <v>0</v>
      </c>
      <c r="AH18" s="38">
        <f>VLOOKUP($A18,[7]Sheet1!$B$2:$U$70,18,FALSE)</f>
        <v>0</v>
      </c>
      <c r="AI18" s="38">
        <f>VLOOKUP($A18,[7]Sheet1!$B$2:$U$70,19,FALSE)</f>
        <v>0</v>
      </c>
      <c r="AJ18" s="38">
        <f>VLOOKUP($A18,[8]Sheet1!$A$3:$H$71,7,FALSE)</f>
        <v>0</v>
      </c>
      <c r="AK18" s="773">
        <f t="shared" si="16"/>
        <v>0</v>
      </c>
      <c r="AL18" s="771">
        <v>255800540</v>
      </c>
      <c r="AM18" s="771">
        <v>230906229</v>
      </c>
      <c r="AN18" s="774">
        <f t="shared" si="17"/>
        <v>-9.7319227707650655E-2</v>
      </c>
      <c r="AO18" s="789">
        <f t="shared" si="18"/>
        <v>230906229</v>
      </c>
      <c r="AP18" s="761">
        <f t="shared" si="6"/>
        <v>0</v>
      </c>
      <c r="AQ18" s="761">
        <f t="shared" si="7"/>
        <v>0</v>
      </c>
      <c r="AR18" s="771">
        <f>VLOOKUP($A18,[7]Sheet1!$B$2:$U$70,20,FALSE)</f>
        <v>559116</v>
      </c>
      <c r="AS18" s="771">
        <f t="shared" si="8"/>
        <v>11954634</v>
      </c>
      <c r="AT18" s="771">
        <f>ROUND(AS18/'3_Levels 1&amp;2'!C18,2)</f>
        <v>10569.97</v>
      </c>
    </row>
    <row r="19" spans="1:46" ht="15" customHeight="1" x14ac:dyDescent="0.2">
      <c r="A19" s="738">
        <v>13</v>
      </c>
      <c r="B19" s="760" t="s">
        <v>143</v>
      </c>
      <c r="C19" s="740">
        <f>VLOOKUP($A19,[6]Breakout!$A$4:$E$72,3,FALSE)</f>
        <v>54829973</v>
      </c>
      <c r="D19" s="740">
        <f>VLOOKUP($A19,[6]Breakout!$A$4:$E$72,4,FALSE)</f>
        <v>14394429</v>
      </c>
      <c r="E19" s="740">
        <f t="shared" si="9"/>
        <v>40435544</v>
      </c>
      <c r="F19" s="740">
        <v>39278813</v>
      </c>
      <c r="G19" s="761">
        <f t="shared" si="10"/>
        <v>2.9449235138546574E-2</v>
      </c>
      <c r="H19" s="762">
        <f t="shared" si="1"/>
        <v>40435544</v>
      </c>
      <c r="I19" s="763">
        <f>VLOOKUP($A19,[7]Sheet1!$B$2:$U$70,3,FALSE)</f>
        <v>4.16</v>
      </c>
      <c r="J19" s="764">
        <f>VLOOKUP($A19,[7]Sheet1!$B$2:$U$70,4,FALSE)</f>
        <v>166695</v>
      </c>
      <c r="K19" s="763">
        <f>VLOOKUP($A19,[7]Sheet1!$B$2:$U$70,5,FALSE)</f>
        <v>13.27</v>
      </c>
      <c r="L19" s="764">
        <f>VLOOKUP($A19,[7]Sheet1!$B$2:$U$70,6,FALSE)</f>
        <v>533682</v>
      </c>
      <c r="M19" s="765">
        <f>VLOOKUP($A19,[7]Sheet1!$B$2:$U$70,7,FALSE)</f>
        <v>0</v>
      </c>
      <c r="N19" s="765">
        <f>VLOOKUP($A19,[7]Sheet1!$B$2:$U$70,8,FALSE)</f>
        <v>5.56</v>
      </c>
      <c r="O19" s="765">
        <f>VLOOKUP($A19,[7]Sheet1!$B$2:$U$70,9,FALSE)</f>
        <v>4</v>
      </c>
      <c r="P19" s="764">
        <f>VLOOKUP($A19,[7]Sheet1!$B$2:$U$70,10,FALSE)</f>
        <v>177154</v>
      </c>
      <c r="Q19" s="740">
        <f t="shared" si="11"/>
        <v>877531</v>
      </c>
      <c r="R19" s="765">
        <f>VLOOKUP($A19,[7]Sheet1!$B$2:$U$70,11,FALSE)</f>
        <v>0</v>
      </c>
      <c r="S19" s="764">
        <f>VLOOKUP($A19,[7]Sheet1!$B$2:$U$70,12,FALSE)</f>
        <v>0</v>
      </c>
      <c r="T19" s="765">
        <f>VLOOKUP($A19,[7]Sheet1!$B$2:$U$70,13,FALSE)</f>
        <v>0</v>
      </c>
      <c r="U19" s="765">
        <f>VLOOKUP($A19,[7]Sheet1!$B$2:$U$70,14,FALSE)</f>
        <v>13</v>
      </c>
      <c r="V19" s="765">
        <f>VLOOKUP($A19,[7]Sheet1!$B$2:$U$70,15,FALSE)</f>
        <v>1</v>
      </c>
      <c r="W19" s="764">
        <f>VLOOKUP($A19,[7]Sheet1!$B$2:$U$70,16,FALSE)</f>
        <v>49496</v>
      </c>
      <c r="X19" s="740">
        <f t="shared" si="12"/>
        <v>49496</v>
      </c>
      <c r="Y19" s="767">
        <f t="shared" si="13"/>
        <v>17.43</v>
      </c>
      <c r="Z19" s="740">
        <f t="shared" si="13"/>
        <v>700377</v>
      </c>
      <c r="AA19" s="740">
        <f t="shared" si="14"/>
        <v>226650</v>
      </c>
      <c r="AB19" s="768">
        <f t="shared" si="2"/>
        <v>1.22</v>
      </c>
      <c r="AC19" s="769">
        <f t="shared" si="3"/>
        <v>21.7</v>
      </c>
      <c r="AD19" s="770">
        <f t="shared" si="4"/>
        <v>22.93</v>
      </c>
      <c r="AE19" s="771">
        <f>VLOOKUP($A19,[8]Sheet1!$A$3:$H$71,4,FALSE)</f>
        <v>0</v>
      </c>
      <c r="AF19" s="771">
        <f t="shared" si="15"/>
        <v>927027</v>
      </c>
      <c r="AG19" s="772">
        <f>VLOOKUP($A19,[7]Sheet1!$B$2:$U$70,17,FALSE)</f>
        <v>0.03</v>
      </c>
      <c r="AH19" s="38">
        <f>VLOOKUP($A19,[7]Sheet1!$B$2:$U$70,18,FALSE)</f>
        <v>2669130</v>
      </c>
      <c r="AI19" s="38">
        <f>VLOOKUP($A19,[7]Sheet1!$B$2:$U$70,19,FALSE)</f>
        <v>0</v>
      </c>
      <c r="AJ19" s="38">
        <f>VLOOKUP($A19,[8]Sheet1!$A$3:$H$71,7,FALSE)</f>
        <v>0</v>
      </c>
      <c r="AK19" s="773">
        <f t="shared" si="16"/>
        <v>2669130</v>
      </c>
      <c r="AL19" s="771">
        <v>87859800</v>
      </c>
      <c r="AM19" s="771">
        <f t="shared" ref="AM19:AM75" si="19">ROUND(AK19/AG19,0)</f>
        <v>88971000</v>
      </c>
      <c r="AN19" s="772">
        <f t="shared" si="17"/>
        <v>1.2647422370640498E-2</v>
      </c>
      <c r="AO19" s="771">
        <f t="shared" si="18"/>
        <v>88971000</v>
      </c>
      <c r="AP19" s="761">
        <f t="shared" si="6"/>
        <v>0.03</v>
      </c>
      <c r="AQ19" s="761">
        <f t="shared" si="7"/>
        <v>0</v>
      </c>
      <c r="AR19" s="771">
        <f>VLOOKUP($A19,[7]Sheet1!$B$2:$U$70,20,FALSE)</f>
        <v>123251</v>
      </c>
      <c r="AS19" s="771">
        <f t="shared" si="8"/>
        <v>3719408</v>
      </c>
      <c r="AT19" s="771">
        <f>ROUND(AS19/'3_Levels 1&amp;2'!C19,2)</f>
        <v>3160.07</v>
      </c>
    </row>
    <row r="20" spans="1:46" ht="15" customHeight="1" x14ac:dyDescent="0.2">
      <c r="A20" s="738">
        <v>14</v>
      </c>
      <c r="B20" s="760" t="s">
        <v>144</v>
      </c>
      <c r="C20" s="740">
        <f>VLOOKUP($A20,[6]Breakout!$A$4:$E$72,3,FALSE)</f>
        <v>149025342</v>
      </c>
      <c r="D20" s="740">
        <f>VLOOKUP($A20,[6]Breakout!$A$4:$E$72,4,FALSE)</f>
        <v>19516844</v>
      </c>
      <c r="E20" s="740">
        <f t="shared" si="9"/>
        <v>129508498</v>
      </c>
      <c r="F20" s="740">
        <v>129045564</v>
      </c>
      <c r="G20" s="761">
        <f t="shared" si="10"/>
        <v>3.5873685669660059E-3</v>
      </c>
      <c r="H20" s="762">
        <f t="shared" si="1"/>
        <v>129508498</v>
      </c>
      <c r="I20" s="763">
        <f>VLOOKUP($A20,[7]Sheet1!$B$2:$U$70,3,FALSE)</f>
        <v>5.29</v>
      </c>
      <c r="J20" s="764">
        <f>VLOOKUP($A20,[7]Sheet1!$B$2:$U$70,4,FALSE)</f>
        <v>693422</v>
      </c>
      <c r="K20" s="763">
        <f>VLOOKUP($A20,[7]Sheet1!$B$2:$U$70,5,FALSE)</f>
        <v>20.3</v>
      </c>
      <c r="L20" s="764">
        <f>VLOOKUP($A20,[7]Sheet1!$B$2:$U$70,6,FALSE)</f>
        <v>1985181</v>
      </c>
      <c r="M20" s="765">
        <f>VLOOKUP($A20,[7]Sheet1!$B$2:$U$70,7,FALSE)</f>
        <v>0</v>
      </c>
      <c r="N20" s="765">
        <f>VLOOKUP($A20,[7]Sheet1!$B$2:$U$70,8,FALSE)</f>
        <v>11.88</v>
      </c>
      <c r="O20" s="765">
        <f>VLOOKUP($A20,[7]Sheet1!$B$2:$U$70,9,FALSE)</f>
        <v>3</v>
      </c>
      <c r="P20" s="764">
        <f>VLOOKUP($A20,[7]Sheet1!$B$2:$U$70,10,FALSE)</f>
        <v>1244234</v>
      </c>
      <c r="Q20" s="740">
        <f t="shared" si="11"/>
        <v>3922837</v>
      </c>
      <c r="R20" s="765">
        <f>VLOOKUP($A20,[7]Sheet1!$B$2:$U$70,11,FALSE)</f>
        <v>0</v>
      </c>
      <c r="S20" s="764">
        <f>VLOOKUP($A20,[7]Sheet1!$B$2:$U$70,12,FALSE)</f>
        <v>0</v>
      </c>
      <c r="T20" s="765">
        <f>VLOOKUP($A20,[7]Sheet1!$B$2:$U$70,13,FALSE)</f>
        <v>0</v>
      </c>
      <c r="U20" s="765">
        <f>VLOOKUP($A20,[7]Sheet1!$B$2:$U$70,14,FALSE)</f>
        <v>17.5</v>
      </c>
      <c r="V20" s="765">
        <f>VLOOKUP($A20,[7]Sheet1!$B$2:$U$70,15,FALSE)</f>
        <v>1</v>
      </c>
      <c r="W20" s="764">
        <f>VLOOKUP($A20,[7]Sheet1!$B$2:$U$70,16,FALSE)</f>
        <v>545220</v>
      </c>
      <c r="X20" s="740">
        <f t="shared" si="12"/>
        <v>545220</v>
      </c>
      <c r="Y20" s="767">
        <f t="shared" si="13"/>
        <v>25.59</v>
      </c>
      <c r="Z20" s="740">
        <f t="shared" si="13"/>
        <v>2678603</v>
      </c>
      <c r="AA20" s="740">
        <f t="shared" si="14"/>
        <v>1789454</v>
      </c>
      <c r="AB20" s="768">
        <f t="shared" si="2"/>
        <v>4.21</v>
      </c>
      <c r="AC20" s="769">
        <f t="shared" si="3"/>
        <v>30.29</v>
      </c>
      <c r="AD20" s="770">
        <f t="shared" si="4"/>
        <v>34.5</v>
      </c>
      <c r="AE20" s="771">
        <f>VLOOKUP($A20,[8]Sheet1!$A$3:$H$71,4,FALSE)</f>
        <v>0</v>
      </c>
      <c r="AF20" s="771">
        <f t="shared" si="15"/>
        <v>4468057</v>
      </c>
      <c r="AG20" s="772">
        <f>VLOOKUP($A20,[7]Sheet1!$B$2:$U$70,17,FALSE)</f>
        <v>0.02</v>
      </c>
      <c r="AH20" s="38">
        <f>VLOOKUP($A20,[7]Sheet1!$B$2:$U$70,18,FALSE)</f>
        <v>2643264</v>
      </c>
      <c r="AI20" s="38">
        <f>VLOOKUP($A20,[7]Sheet1!$B$2:$U$70,19,FALSE)</f>
        <v>0</v>
      </c>
      <c r="AJ20" s="38">
        <f>VLOOKUP($A20,[8]Sheet1!$A$3:$H$71,7,FALSE)</f>
        <v>0</v>
      </c>
      <c r="AK20" s="773">
        <f t="shared" si="16"/>
        <v>2643264</v>
      </c>
      <c r="AL20" s="771">
        <v>132880200</v>
      </c>
      <c r="AM20" s="771">
        <f t="shared" si="19"/>
        <v>132163200</v>
      </c>
      <c r="AN20" s="772">
        <f t="shared" si="17"/>
        <v>-5.395837754609039E-3</v>
      </c>
      <c r="AO20" s="771">
        <f t="shared" si="18"/>
        <v>132163200</v>
      </c>
      <c r="AP20" s="761">
        <f t="shared" si="6"/>
        <v>0.02</v>
      </c>
      <c r="AQ20" s="761">
        <f t="shared" si="7"/>
        <v>0</v>
      </c>
      <c r="AR20" s="771">
        <f>VLOOKUP($A20,[7]Sheet1!$B$2:$U$70,20,FALSE)</f>
        <v>133667</v>
      </c>
      <c r="AS20" s="771">
        <f t="shared" si="8"/>
        <v>7244988</v>
      </c>
      <c r="AT20" s="771">
        <f>ROUND(AS20/'3_Levels 1&amp;2'!C20,2)</f>
        <v>4222.0200000000004</v>
      </c>
    </row>
    <row r="21" spans="1:46" ht="15" customHeight="1" x14ac:dyDescent="0.2">
      <c r="A21" s="742">
        <v>15</v>
      </c>
      <c r="B21" s="775" t="s">
        <v>145</v>
      </c>
      <c r="C21" s="744">
        <f>VLOOKUP($A21,[6]Breakout!$A$4:$E$72,3,FALSE)</f>
        <v>163697480</v>
      </c>
      <c r="D21" s="744">
        <f>VLOOKUP($A21,[6]Breakout!$A$4:$E$72,4,FALSE)</f>
        <v>27908270</v>
      </c>
      <c r="E21" s="744">
        <f t="shared" si="9"/>
        <v>135789210</v>
      </c>
      <c r="F21" s="744">
        <v>131476860</v>
      </c>
      <c r="G21" s="776">
        <f t="shared" si="10"/>
        <v>3.2799307802148604E-2</v>
      </c>
      <c r="H21" s="777">
        <f t="shared" si="1"/>
        <v>135789210</v>
      </c>
      <c r="I21" s="778">
        <f>VLOOKUP($A21,[7]Sheet1!$B$2:$U$70,3,FALSE)</f>
        <v>2.81</v>
      </c>
      <c r="J21" s="779">
        <f>VLOOKUP($A21,[7]Sheet1!$B$2:$U$70,4,FALSE)</f>
        <v>379114</v>
      </c>
      <c r="K21" s="778">
        <f>VLOOKUP($A21,[7]Sheet1!$B$2:$U$70,5,FALSE)</f>
        <v>37.6</v>
      </c>
      <c r="L21" s="779">
        <f>VLOOKUP($A21,[7]Sheet1!$B$2:$U$70,6,FALSE)</f>
        <v>5071085</v>
      </c>
      <c r="M21" s="780">
        <f>VLOOKUP($A21,[7]Sheet1!$B$2:$U$70,7,FALSE)</f>
        <v>0</v>
      </c>
      <c r="N21" s="780">
        <f>VLOOKUP($A21,[7]Sheet1!$B$2:$U$70,8,FALSE)</f>
        <v>0</v>
      </c>
      <c r="O21" s="780">
        <f>VLOOKUP($A21,[7]Sheet1!$B$2:$U$70,9,FALSE)</f>
        <v>0</v>
      </c>
      <c r="P21" s="779">
        <f>VLOOKUP($A21,[7]Sheet1!$B$2:$U$70,10,FALSE)</f>
        <v>0</v>
      </c>
      <c r="Q21" s="744">
        <f t="shared" si="11"/>
        <v>5450199</v>
      </c>
      <c r="R21" s="780">
        <f>VLOOKUP($A21,[7]Sheet1!$B$2:$U$70,11,FALSE)</f>
        <v>0</v>
      </c>
      <c r="S21" s="779">
        <f>VLOOKUP($A21,[7]Sheet1!$B$2:$U$70,12,FALSE)</f>
        <v>0</v>
      </c>
      <c r="T21" s="780">
        <f>VLOOKUP($A21,[7]Sheet1!$B$2:$U$70,13,FALSE)</f>
        <v>0</v>
      </c>
      <c r="U21" s="780">
        <f>VLOOKUP($A21,[7]Sheet1!$B$2:$U$70,14,FALSE)</f>
        <v>0</v>
      </c>
      <c r="V21" s="780">
        <f>VLOOKUP($A21,[7]Sheet1!$B$2:$U$70,15,FALSE)</f>
        <v>0</v>
      </c>
      <c r="W21" s="779">
        <f>VLOOKUP($A21,[7]Sheet1!$B$2:$U$70,16,FALSE)</f>
        <v>0</v>
      </c>
      <c r="X21" s="744">
        <f t="shared" si="12"/>
        <v>0</v>
      </c>
      <c r="Y21" s="781">
        <f t="shared" si="13"/>
        <v>40.410000000000004</v>
      </c>
      <c r="Z21" s="744">
        <f t="shared" si="13"/>
        <v>5450199</v>
      </c>
      <c r="AA21" s="744">
        <f t="shared" si="14"/>
        <v>0</v>
      </c>
      <c r="AB21" s="782">
        <f t="shared" si="2"/>
        <v>0</v>
      </c>
      <c r="AC21" s="783">
        <f t="shared" si="3"/>
        <v>40.14</v>
      </c>
      <c r="AD21" s="784">
        <f t="shared" si="4"/>
        <v>40.14</v>
      </c>
      <c r="AE21" s="785">
        <f>VLOOKUP($A21,[8]Sheet1!$A$3:$H$71,4,FALSE)</f>
        <v>0</v>
      </c>
      <c r="AF21" s="785">
        <f t="shared" si="15"/>
        <v>5450199</v>
      </c>
      <c r="AG21" s="786">
        <f>VLOOKUP($A21,[7]Sheet1!$B$2:$U$70,17,FALSE)</f>
        <v>0.02</v>
      </c>
      <c r="AH21" s="787">
        <f>VLOOKUP($A21,[7]Sheet1!$B$2:$U$70,18,FALSE)</f>
        <v>5581235</v>
      </c>
      <c r="AI21" s="787">
        <f>VLOOKUP($A21,[7]Sheet1!$B$2:$U$70,19,FALSE)</f>
        <v>0</v>
      </c>
      <c r="AJ21" s="787">
        <f>VLOOKUP($A21,[8]Sheet1!$A$3:$H$71,7,FALSE)</f>
        <v>0</v>
      </c>
      <c r="AK21" s="788">
        <f t="shared" si="16"/>
        <v>5581235</v>
      </c>
      <c r="AL21" s="785">
        <v>272594200</v>
      </c>
      <c r="AM21" s="785">
        <f t="shared" si="19"/>
        <v>279061750</v>
      </c>
      <c r="AN21" s="786">
        <f t="shared" si="17"/>
        <v>2.3725926670486754E-2</v>
      </c>
      <c r="AO21" s="785">
        <f t="shared" si="18"/>
        <v>279061750</v>
      </c>
      <c r="AP21" s="776">
        <f t="shared" si="6"/>
        <v>0.02</v>
      </c>
      <c r="AQ21" s="776">
        <f t="shared" si="7"/>
        <v>0</v>
      </c>
      <c r="AR21" s="785">
        <f>VLOOKUP($A21,[7]Sheet1!$B$2:$U$70,20,FALSE)</f>
        <v>176970</v>
      </c>
      <c r="AS21" s="785">
        <f t="shared" si="8"/>
        <v>11208404</v>
      </c>
      <c r="AT21" s="785">
        <f>ROUND(AS21/'3_Levels 1&amp;2'!C21,2)</f>
        <v>3250.7</v>
      </c>
    </row>
    <row r="22" spans="1:46" ht="15" customHeight="1" x14ac:dyDescent="0.2">
      <c r="A22" s="738">
        <v>16</v>
      </c>
      <c r="B22" s="760" t="s">
        <v>146</v>
      </c>
      <c r="C22" s="740">
        <f>VLOOKUP($A22,[6]Breakout!$A$4:$E$72,3,FALSE)</f>
        <v>758808223</v>
      </c>
      <c r="D22" s="740">
        <f>VLOOKUP($A22,[6]Breakout!$A$4:$E$72,4,FALSE)</f>
        <v>42362929</v>
      </c>
      <c r="E22" s="740">
        <f t="shared" si="9"/>
        <v>716445294</v>
      </c>
      <c r="F22" s="740">
        <v>692049158</v>
      </c>
      <c r="G22" s="761">
        <f t="shared" si="10"/>
        <v>3.5252027573451652E-2</v>
      </c>
      <c r="H22" s="762">
        <f t="shared" si="1"/>
        <v>716445294</v>
      </c>
      <c r="I22" s="763">
        <f>VLOOKUP($A22,[7]Sheet1!$B$2:$U$70,3,FALSE)</f>
        <v>5.32</v>
      </c>
      <c r="J22" s="764">
        <f>VLOOKUP($A22,[7]Sheet1!$B$2:$U$70,4,FALSE)</f>
        <v>3803808</v>
      </c>
      <c r="K22" s="763">
        <f>VLOOKUP($A22,[7]Sheet1!$B$2:$U$70,5,FALSE)</f>
        <v>51.34</v>
      </c>
      <c r="L22" s="764">
        <f>VLOOKUP($A22,[7]Sheet1!$B$2:$U$70,6,FALSE)</f>
        <v>36708868</v>
      </c>
      <c r="M22" s="765">
        <f>VLOOKUP($A22,[7]Sheet1!$B$2:$U$70,7,FALSE)</f>
        <v>0</v>
      </c>
      <c r="N22" s="765">
        <f>VLOOKUP($A22,[7]Sheet1!$B$2:$U$70,8,FALSE)</f>
        <v>0</v>
      </c>
      <c r="O22" s="765">
        <f>VLOOKUP($A22,[7]Sheet1!$B$2:$U$70,9,FALSE)</f>
        <v>0</v>
      </c>
      <c r="P22" s="764">
        <f>VLOOKUP($A22,[7]Sheet1!$B$2:$U$70,10,FALSE)</f>
        <v>0</v>
      </c>
      <c r="Q22" s="740">
        <f t="shared" si="11"/>
        <v>40512676</v>
      </c>
      <c r="R22" s="766">
        <f>VLOOKUP($A22,[7]Sheet1!$B$2:$U$70,11,FALSE)</f>
        <v>0</v>
      </c>
      <c r="S22" s="764">
        <f>VLOOKUP($A22,[7]Sheet1!$B$2:$U$70,12,FALSE)</f>
        <v>0</v>
      </c>
      <c r="T22" s="765">
        <f>VLOOKUP($A22,[7]Sheet1!$B$2:$U$70,13,FALSE)</f>
        <v>0</v>
      </c>
      <c r="U22" s="765">
        <f>VLOOKUP($A22,[7]Sheet1!$B$2:$U$70,14,FALSE)</f>
        <v>4</v>
      </c>
      <c r="V22" s="765">
        <f>VLOOKUP($A22,[7]Sheet1!$B$2:$U$70,15,FALSE)</f>
        <v>3</v>
      </c>
      <c r="W22" s="764">
        <f>VLOOKUP($A22,[7]Sheet1!$B$2:$U$70,16,FALSE)</f>
        <v>2190136</v>
      </c>
      <c r="X22" s="740">
        <f t="shared" si="12"/>
        <v>2190136</v>
      </c>
      <c r="Y22" s="767">
        <f t="shared" si="13"/>
        <v>56.660000000000004</v>
      </c>
      <c r="Z22" s="740">
        <f t="shared" si="13"/>
        <v>40512676</v>
      </c>
      <c r="AA22" s="740">
        <f t="shared" si="14"/>
        <v>2190136</v>
      </c>
      <c r="AB22" s="768">
        <f t="shared" si="2"/>
        <v>3.06</v>
      </c>
      <c r="AC22" s="769">
        <f t="shared" si="3"/>
        <v>56.55</v>
      </c>
      <c r="AD22" s="770">
        <f t="shared" si="4"/>
        <v>59.6</v>
      </c>
      <c r="AE22" s="771">
        <f>VLOOKUP($A22,[8]Sheet1!$A$3:$H$71,4,FALSE)</f>
        <v>0</v>
      </c>
      <c r="AF22" s="771">
        <f t="shared" si="15"/>
        <v>42702812</v>
      </c>
      <c r="AG22" s="772">
        <f>VLOOKUP($A22,[7]Sheet1!$B$2:$U$70,17,FALSE)</f>
        <v>2.5000000000000001E-2</v>
      </c>
      <c r="AH22" s="38">
        <f>VLOOKUP($A22,[7]Sheet1!$B$2:$U$70,18,FALSE)</f>
        <v>23598497</v>
      </c>
      <c r="AI22" s="38">
        <f>VLOOKUP($A22,[7]Sheet1!$B$2:$U$70,19,FALSE)</f>
        <v>2246211</v>
      </c>
      <c r="AJ22" s="38">
        <f>VLOOKUP($A22,[8]Sheet1!$A$3:$H$71,7,FALSE)</f>
        <v>0</v>
      </c>
      <c r="AK22" s="773">
        <f t="shared" si="16"/>
        <v>25844708</v>
      </c>
      <c r="AL22" s="771">
        <v>1105690840</v>
      </c>
      <c r="AM22" s="771">
        <f t="shared" si="19"/>
        <v>1033788320</v>
      </c>
      <c r="AN22" s="774">
        <f t="shared" si="17"/>
        <v>-6.502949775725736E-2</v>
      </c>
      <c r="AO22" s="789">
        <f t="shared" si="18"/>
        <v>1033788320</v>
      </c>
      <c r="AP22" s="761">
        <f t="shared" si="6"/>
        <v>2.28272041224068E-2</v>
      </c>
      <c r="AQ22" s="761">
        <f t="shared" si="7"/>
        <v>2.1727958775932003E-3</v>
      </c>
      <c r="AR22" s="771">
        <f>VLOOKUP($A22,[7]Sheet1!$B$2:$U$70,20,FALSE)</f>
        <v>781841</v>
      </c>
      <c r="AS22" s="771">
        <f t="shared" si="8"/>
        <v>69329361</v>
      </c>
      <c r="AT22" s="771">
        <f>ROUND(AS22/'3_Levels 1&amp;2'!C22,2)</f>
        <v>14829.81</v>
      </c>
    </row>
    <row r="23" spans="1:46" s="404" customFormat="1" ht="15" customHeight="1" x14ac:dyDescent="0.2">
      <c r="A23" s="738">
        <v>17</v>
      </c>
      <c r="B23" s="790" t="s">
        <v>147</v>
      </c>
      <c r="C23" s="771">
        <f>VLOOKUP($A23,[6]Breakout!$A$4:$E$72,3,FALSE)</f>
        <v>4510272968.9200001</v>
      </c>
      <c r="D23" s="740">
        <f>VLOOKUP($A23,[6]Breakout!$A$4:$E$72,4,FALSE)</f>
        <v>554277779</v>
      </c>
      <c r="E23" s="740">
        <f>C23-D23</f>
        <v>3955995189.9200001</v>
      </c>
      <c r="F23" s="740">
        <v>3767798005.4200001</v>
      </c>
      <c r="G23" s="761">
        <f t="shared" si="10"/>
        <v>4.9948851883587504E-2</v>
      </c>
      <c r="H23" s="762">
        <f t="shared" si="1"/>
        <v>3955995189.9200001</v>
      </c>
      <c r="I23" s="763">
        <f>VLOOKUP($A23,[7]Sheet1!$B$2:$U$70,3,FALSE)</f>
        <v>5.25</v>
      </c>
      <c r="J23" s="764">
        <f>VLOOKUP($A23,[7]Sheet1!$B$2:$U$70,4,FALSE)</f>
        <v>20894289</v>
      </c>
      <c r="K23" s="763">
        <f>VLOOKUP($A23,[7]Sheet1!$B$2:$U$70,5,FALSE)</f>
        <v>38.200000000000003</v>
      </c>
      <c r="L23" s="764">
        <f>VLOOKUP($A23,[7]Sheet1!$B$2:$U$70,6,FALSE)</f>
        <v>152029388</v>
      </c>
      <c r="M23" s="765">
        <f>VLOOKUP($A23,[7]Sheet1!$B$2:$U$70,7,FALSE)</f>
        <v>0</v>
      </c>
      <c r="N23" s="765">
        <f>VLOOKUP($A23,[7]Sheet1!$B$2:$U$70,8,FALSE)</f>
        <v>0</v>
      </c>
      <c r="O23" s="765">
        <f>VLOOKUP($A23,[7]Sheet1!$B$2:$U$70,9,FALSE)</f>
        <v>0</v>
      </c>
      <c r="P23" s="764">
        <f>VLOOKUP($A23,[7]Sheet1!$B$2:$U$70,10,FALSE)</f>
        <v>0</v>
      </c>
      <c r="Q23" s="740">
        <f>J23+L23+P23</f>
        <v>172923677</v>
      </c>
      <c r="R23" s="765">
        <f>VLOOKUP($A23,[7]Sheet1!$B$2:$U$70,11,FALSE)</f>
        <v>0</v>
      </c>
      <c r="S23" s="764">
        <f>VLOOKUP($A23,[7]Sheet1!$B$2:$U$70,12,FALSE)</f>
        <v>0</v>
      </c>
      <c r="T23" s="765">
        <f>VLOOKUP($A23,[7]Sheet1!$B$2:$U$70,13,FALSE)</f>
        <v>0</v>
      </c>
      <c r="U23" s="765">
        <f>VLOOKUP($A23,[7]Sheet1!$B$2:$U$70,14,FALSE)</f>
        <v>0</v>
      </c>
      <c r="V23" s="765">
        <f>VLOOKUP($A23,[7]Sheet1!$B$2:$U$70,15,FALSE)</f>
        <v>0</v>
      </c>
      <c r="W23" s="764">
        <f>VLOOKUP($A23,[7]Sheet1!$B$2:$U$70,16,FALSE)</f>
        <v>0</v>
      </c>
      <c r="X23" s="740">
        <f t="shared" si="12"/>
        <v>0</v>
      </c>
      <c r="Y23" s="767">
        <f t="shared" si="13"/>
        <v>43.45</v>
      </c>
      <c r="Z23" s="740">
        <f t="shared" si="13"/>
        <v>172923677</v>
      </c>
      <c r="AA23" s="740">
        <f t="shared" si="14"/>
        <v>0</v>
      </c>
      <c r="AB23" s="768">
        <f t="shared" si="2"/>
        <v>0</v>
      </c>
      <c r="AC23" s="769">
        <f t="shared" si="3"/>
        <v>43.71</v>
      </c>
      <c r="AD23" s="770">
        <f t="shared" si="4"/>
        <v>43.71</v>
      </c>
      <c r="AE23" s="771">
        <f>VLOOKUP($A23,[8]Sheet1!$A$3:$H$71,4,FALSE)</f>
        <v>0</v>
      </c>
      <c r="AF23" s="771">
        <f t="shared" si="15"/>
        <v>172923677</v>
      </c>
      <c r="AG23" s="772">
        <f>VLOOKUP($A23,[7]Sheet1!$B$2:$U$70,17,FALSE)</f>
        <v>0.02</v>
      </c>
      <c r="AH23" s="38">
        <f>VLOOKUP($A23,[7]Sheet1!$B$2:$U$70,18,FALSE)</f>
        <v>178160212</v>
      </c>
      <c r="AI23" s="38">
        <f>VLOOKUP($A23,[7]Sheet1!$B$2:$U$70,19,FALSE)</f>
        <v>0</v>
      </c>
      <c r="AJ23" s="38">
        <f>VLOOKUP($A23,[8]Sheet1!$A$3:$H$71,7,FALSE)</f>
        <v>0</v>
      </c>
      <c r="AK23" s="773">
        <f t="shared" si="16"/>
        <v>178160212</v>
      </c>
      <c r="AL23" s="771">
        <v>9110382850</v>
      </c>
      <c r="AM23" s="771">
        <f t="shared" si="19"/>
        <v>8908010600</v>
      </c>
      <c r="AN23" s="774">
        <f t="shared" si="17"/>
        <v>-2.2213363953195446E-2</v>
      </c>
      <c r="AO23" s="789">
        <f t="shared" si="18"/>
        <v>8908010600</v>
      </c>
      <c r="AP23" s="761">
        <f t="shared" si="6"/>
        <v>0.02</v>
      </c>
      <c r="AQ23" s="761">
        <f t="shared" si="7"/>
        <v>0</v>
      </c>
      <c r="AR23" s="771">
        <f>VLOOKUP($A23,[7]Sheet1!$B$2:$U$70,20,FALSE)</f>
        <v>3979947</v>
      </c>
      <c r="AS23" s="771">
        <f t="shared" si="8"/>
        <v>355063836</v>
      </c>
      <c r="AT23" s="771">
        <f>ROUND(AS23/'3_Levels 1&amp;2'!C23,2)</f>
        <v>7863.57</v>
      </c>
    </row>
    <row r="24" spans="1:46" ht="15" customHeight="1" x14ac:dyDescent="0.2">
      <c r="A24" s="738">
        <v>18</v>
      </c>
      <c r="B24" s="760" t="s">
        <v>148</v>
      </c>
      <c r="C24" s="740">
        <f>VLOOKUP($A24,[6]Breakout!$A$4:$E$72,3,FALSE)</f>
        <v>54347170</v>
      </c>
      <c r="D24" s="740">
        <f>VLOOKUP($A24,[6]Breakout!$A$4:$E$72,4,FALSE)</f>
        <v>5554473</v>
      </c>
      <c r="E24" s="740">
        <f t="shared" si="9"/>
        <v>48792697</v>
      </c>
      <c r="F24" s="740">
        <v>44614553</v>
      </c>
      <c r="G24" s="761">
        <f t="shared" si="10"/>
        <v>9.3649800772407157E-2</v>
      </c>
      <c r="H24" s="762">
        <f t="shared" si="1"/>
        <v>48792697</v>
      </c>
      <c r="I24" s="763">
        <f>VLOOKUP($A24,[7]Sheet1!$B$2:$U$70,3,FALSE)</f>
        <v>8.1999999999999993</v>
      </c>
      <c r="J24" s="764">
        <f>VLOOKUP($A24,[7]Sheet1!$B$2:$U$70,4,FALSE)</f>
        <v>396952</v>
      </c>
      <c r="K24" s="763">
        <f>VLOOKUP($A24,[7]Sheet1!$B$2:$U$70,5,FALSE)</f>
        <v>8.24</v>
      </c>
      <c r="L24" s="764">
        <f>VLOOKUP($A24,[7]Sheet1!$B$2:$U$70,6,FALSE)</f>
        <v>395024</v>
      </c>
      <c r="M24" s="765">
        <f>VLOOKUP($A24,[7]Sheet1!$B$2:$U$70,7,FALSE)</f>
        <v>0</v>
      </c>
      <c r="N24" s="765">
        <f>VLOOKUP($A24,[7]Sheet1!$B$2:$U$70,8,FALSE)</f>
        <v>0</v>
      </c>
      <c r="O24" s="765">
        <f>VLOOKUP($A24,[7]Sheet1!$B$2:$U$70,9,FALSE)</f>
        <v>0</v>
      </c>
      <c r="P24" s="764">
        <f>VLOOKUP($A24,[7]Sheet1!$B$2:$U$70,10,FALSE)</f>
        <v>0</v>
      </c>
      <c r="Q24" s="740">
        <f t="shared" si="11"/>
        <v>791976</v>
      </c>
      <c r="R24" s="765">
        <f>VLOOKUP($A24,[7]Sheet1!$B$2:$U$70,11,FALSE)</f>
        <v>0</v>
      </c>
      <c r="S24" s="764">
        <f>VLOOKUP($A24,[7]Sheet1!$B$2:$U$70,12,FALSE)</f>
        <v>0</v>
      </c>
      <c r="T24" s="765">
        <f>VLOOKUP($A24,[7]Sheet1!$B$2:$U$70,13,FALSE)</f>
        <v>0</v>
      </c>
      <c r="U24" s="765">
        <f>VLOOKUP($A24,[7]Sheet1!$B$2:$U$70,14,FALSE)</f>
        <v>0</v>
      </c>
      <c r="V24" s="765">
        <f>VLOOKUP($A24,[7]Sheet1!$B$2:$U$70,15,FALSE)</f>
        <v>0</v>
      </c>
      <c r="W24" s="764">
        <f>VLOOKUP($A24,[7]Sheet1!$B$2:$U$70,16,FALSE)</f>
        <v>0</v>
      </c>
      <c r="X24" s="740">
        <f t="shared" si="12"/>
        <v>0</v>
      </c>
      <c r="Y24" s="767">
        <f t="shared" si="13"/>
        <v>16.439999999999998</v>
      </c>
      <c r="Z24" s="740">
        <f t="shared" si="13"/>
        <v>791976</v>
      </c>
      <c r="AA24" s="740">
        <f t="shared" si="14"/>
        <v>0</v>
      </c>
      <c r="AB24" s="768">
        <f t="shared" si="2"/>
        <v>0</v>
      </c>
      <c r="AC24" s="769">
        <f t="shared" si="3"/>
        <v>16.23</v>
      </c>
      <c r="AD24" s="770">
        <f t="shared" si="4"/>
        <v>16.23</v>
      </c>
      <c r="AE24" s="771">
        <f>VLOOKUP($A24,[8]Sheet1!$A$3:$H$71,4,FALSE)</f>
        <v>0</v>
      </c>
      <c r="AF24" s="771">
        <f t="shared" si="15"/>
        <v>791976</v>
      </c>
      <c r="AG24" s="772">
        <f>VLOOKUP($A24,[7]Sheet1!$B$2:$U$70,17,FALSE)</f>
        <v>0.03</v>
      </c>
      <c r="AH24" s="38">
        <f>VLOOKUP($A24,[7]Sheet1!$B$2:$U$70,18,FALSE)</f>
        <v>1815260</v>
      </c>
      <c r="AI24" s="38">
        <f>VLOOKUP($A24,[7]Sheet1!$B$2:$U$70,19,FALSE)</f>
        <v>0</v>
      </c>
      <c r="AJ24" s="38">
        <f>VLOOKUP($A24,[8]Sheet1!$A$3:$H$71,7,FALSE)</f>
        <v>0</v>
      </c>
      <c r="AK24" s="773">
        <f t="shared" si="16"/>
        <v>1815260</v>
      </c>
      <c r="AL24" s="771">
        <v>57598467</v>
      </c>
      <c r="AM24" s="771">
        <f t="shared" si="19"/>
        <v>60508667</v>
      </c>
      <c r="AN24" s="772">
        <f t="shared" si="17"/>
        <v>5.0525650274685259E-2</v>
      </c>
      <c r="AO24" s="771">
        <f t="shared" si="18"/>
        <v>60508667</v>
      </c>
      <c r="AP24" s="761">
        <f t="shared" si="6"/>
        <v>2.999999983473442E-2</v>
      </c>
      <c r="AQ24" s="761">
        <f t="shared" si="7"/>
        <v>0</v>
      </c>
      <c r="AR24" s="771">
        <f>VLOOKUP($A24,[7]Sheet1!$B$2:$U$70,20,FALSE)</f>
        <v>120279</v>
      </c>
      <c r="AS24" s="771">
        <f t="shared" si="8"/>
        <v>2727515</v>
      </c>
      <c r="AT24" s="771">
        <f>ROUND(AS24/'3_Levels 1&amp;2'!C24,2)</f>
        <v>3396.66</v>
      </c>
    </row>
    <row r="25" spans="1:46" ht="15" customHeight="1" x14ac:dyDescent="0.2">
      <c r="A25" s="738">
        <v>19</v>
      </c>
      <c r="B25" s="760" t="s">
        <v>149</v>
      </c>
      <c r="C25" s="740">
        <f>VLOOKUP($A25,[6]Breakout!$A$4:$E$72,3,FALSE)</f>
        <v>223559014</v>
      </c>
      <c r="D25" s="740">
        <f>VLOOKUP($A25,[6]Breakout!$A$4:$E$72,4,FALSE)</f>
        <v>36549307</v>
      </c>
      <c r="E25" s="740">
        <f t="shared" si="9"/>
        <v>187009707</v>
      </c>
      <c r="F25" s="740">
        <v>185076439</v>
      </c>
      <c r="G25" s="761">
        <f t="shared" si="10"/>
        <v>1.0445781269867636E-2</v>
      </c>
      <c r="H25" s="762">
        <f t="shared" si="1"/>
        <v>187009707</v>
      </c>
      <c r="I25" s="763">
        <f>VLOOKUP($A25,[7]Sheet1!$B$2:$U$70,3,FALSE)</f>
        <v>3.34</v>
      </c>
      <c r="J25" s="764">
        <f>VLOOKUP($A25,[7]Sheet1!$B$2:$U$70,4,FALSE)</f>
        <v>595553</v>
      </c>
      <c r="K25" s="763">
        <f>VLOOKUP($A25,[7]Sheet1!$B$2:$U$70,5,FALSE)</f>
        <v>17</v>
      </c>
      <c r="L25" s="764">
        <f>VLOOKUP($A25,[7]Sheet1!$B$2:$U$70,6,FALSE)</f>
        <v>3034542</v>
      </c>
      <c r="M25" s="765">
        <f>VLOOKUP($A25,[7]Sheet1!$B$2:$U$70,7,FALSE)</f>
        <v>0</v>
      </c>
      <c r="N25" s="765">
        <f>VLOOKUP($A25,[7]Sheet1!$B$2:$U$70,8,FALSE)</f>
        <v>0</v>
      </c>
      <c r="O25" s="765">
        <f>VLOOKUP($A25,[7]Sheet1!$B$2:$U$70,9,FALSE)</f>
        <v>0</v>
      </c>
      <c r="P25" s="764">
        <f>VLOOKUP($A25,[7]Sheet1!$B$2:$U$70,10,FALSE)</f>
        <v>0</v>
      </c>
      <c r="Q25" s="740">
        <f t="shared" si="11"/>
        <v>3630095</v>
      </c>
      <c r="R25" s="765">
        <f>VLOOKUP($A25,[7]Sheet1!$B$2:$U$70,11,FALSE)</f>
        <v>0</v>
      </c>
      <c r="S25" s="764">
        <f>VLOOKUP($A25,[7]Sheet1!$B$2:$U$70,12,FALSE)</f>
        <v>0</v>
      </c>
      <c r="T25" s="765">
        <f>VLOOKUP($A25,[7]Sheet1!$B$2:$U$70,13,FALSE)</f>
        <v>0</v>
      </c>
      <c r="U25" s="765">
        <f>VLOOKUP($A25,[7]Sheet1!$B$2:$U$70,14,FALSE)</f>
        <v>0</v>
      </c>
      <c r="V25" s="765">
        <f>VLOOKUP($A25,[7]Sheet1!$B$2:$U$70,15,FALSE)</f>
        <v>0</v>
      </c>
      <c r="W25" s="764">
        <f>VLOOKUP($A25,[7]Sheet1!$B$2:$U$70,16,FALSE)</f>
        <v>0</v>
      </c>
      <c r="X25" s="740">
        <f t="shared" si="12"/>
        <v>0</v>
      </c>
      <c r="Y25" s="767">
        <f t="shared" si="13"/>
        <v>20.34</v>
      </c>
      <c r="Z25" s="740">
        <f t="shared" si="13"/>
        <v>3630095</v>
      </c>
      <c r="AA25" s="740">
        <f t="shared" si="14"/>
        <v>0</v>
      </c>
      <c r="AB25" s="768">
        <f t="shared" si="2"/>
        <v>0</v>
      </c>
      <c r="AC25" s="769">
        <f t="shared" si="3"/>
        <v>19.41</v>
      </c>
      <c r="AD25" s="770">
        <f t="shared" si="4"/>
        <v>20.170000000000002</v>
      </c>
      <c r="AE25" s="771">
        <f>VLOOKUP($A25,[8]Sheet1!$A$3:$H$71,4,FALSE)</f>
        <v>141690</v>
      </c>
      <c r="AF25" s="771">
        <f t="shared" si="15"/>
        <v>3771785</v>
      </c>
      <c r="AG25" s="772">
        <f>VLOOKUP($A25,[7]Sheet1!$B$2:$U$70,17,FALSE)</f>
        <v>0.02</v>
      </c>
      <c r="AH25" s="38">
        <f>VLOOKUP($A25,[7]Sheet1!$B$2:$U$70,18,FALSE)</f>
        <v>3701332</v>
      </c>
      <c r="AI25" s="38">
        <f>VLOOKUP($A25,[7]Sheet1!$B$2:$U$70,19,FALSE)</f>
        <v>0</v>
      </c>
      <c r="AJ25" s="38">
        <f>VLOOKUP($A25,[8]Sheet1!$A$3:$H$71,7,FALSE)</f>
        <v>15824</v>
      </c>
      <c r="AK25" s="773">
        <f t="shared" si="16"/>
        <v>3717156</v>
      </c>
      <c r="AL25" s="771">
        <v>191289600</v>
      </c>
      <c r="AM25" s="771">
        <f t="shared" si="19"/>
        <v>185857800</v>
      </c>
      <c r="AN25" s="772">
        <f t="shared" si="17"/>
        <v>-2.8395689049483086E-2</v>
      </c>
      <c r="AO25" s="771">
        <f t="shared" si="18"/>
        <v>185857800</v>
      </c>
      <c r="AP25" s="761">
        <f t="shared" si="6"/>
        <v>1.9914859640004348E-2</v>
      </c>
      <c r="AQ25" s="761">
        <f t="shared" si="7"/>
        <v>0</v>
      </c>
      <c r="AR25" s="771">
        <f>VLOOKUP($A25,[7]Sheet1!$B$2:$U$70,20,FALSE)</f>
        <v>72748</v>
      </c>
      <c r="AS25" s="771">
        <f t="shared" si="8"/>
        <v>7561689</v>
      </c>
      <c r="AT25" s="771">
        <f>ROUND(AS25/'3_Levels 1&amp;2'!C25,2)</f>
        <v>4477.0200000000004</v>
      </c>
    </row>
    <row r="26" spans="1:46" ht="15" customHeight="1" x14ac:dyDescent="0.2">
      <c r="A26" s="742">
        <v>20</v>
      </c>
      <c r="B26" s="775" t="s">
        <v>150</v>
      </c>
      <c r="C26" s="744">
        <f>VLOOKUP($A26,[6]Breakout!$A$4:$E$72,3,FALSE)</f>
        <v>297219060</v>
      </c>
      <c r="D26" s="744">
        <f>VLOOKUP($A26,[6]Breakout!$A$4:$E$72,4,FALSE)</f>
        <v>52196454</v>
      </c>
      <c r="E26" s="744">
        <f t="shared" si="9"/>
        <v>245022606</v>
      </c>
      <c r="F26" s="744">
        <v>243046381</v>
      </c>
      <c r="G26" s="776">
        <f t="shared" si="10"/>
        <v>8.1310612067908138E-3</v>
      </c>
      <c r="H26" s="777">
        <f t="shared" si="1"/>
        <v>245022606</v>
      </c>
      <c r="I26" s="778">
        <f>VLOOKUP($A26,[7]Sheet1!$B$2:$U$70,3,FALSE)</f>
        <v>4.5</v>
      </c>
      <c r="J26" s="779">
        <f>VLOOKUP($A26,[7]Sheet1!$B$2:$U$70,4,FALSE)</f>
        <v>1079839</v>
      </c>
      <c r="K26" s="778">
        <f>VLOOKUP($A26,[7]Sheet1!$B$2:$U$70,5,FALSE)</f>
        <v>10.35</v>
      </c>
      <c r="L26" s="779">
        <f>VLOOKUP($A26,[7]Sheet1!$B$2:$U$70,6,FALSE)</f>
        <v>2482839</v>
      </c>
      <c r="M26" s="780">
        <f>VLOOKUP($A26,[7]Sheet1!$B$2:$U$70,7,FALSE)</f>
        <v>0</v>
      </c>
      <c r="N26" s="780">
        <f>VLOOKUP($A26,[7]Sheet1!$B$2:$U$70,8,FALSE)</f>
        <v>12.32</v>
      </c>
      <c r="O26" s="780">
        <f>VLOOKUP($A26,[7]Sheet1!$B$2:$U$70,9,FALSE)</f>
        <v>3</v>
      </c>
      <c r="P26" s="779">
        <f>VLOOKUP($A26,[7]Sheet1!$B$2:$U$70,10,FALSE)</f>
        <v>3520459</v>
      </c>
      <c r="Q26" s="744">
        <f t="shared" si="11"/>
        <v>7083137</v>
      </c>
      <c r="R26" s="780">
        <f>VLOOKUP($A26,[7]Sheet1!$B$2:$U$70,11,FALSE)</f>
        <v>0</v>
      </c>
      <c r="S26" s="779">
        <f>VLOOKUP($A26,[7]Sheet1!$B$2:$U$70,12,FALSE)</f>
        <v>0</v>
      </c>
      <c r="T26" s="780">
        <f>VLOOKUP($A26,[7]Sheet1!$B$2:$U$70,13,FALSE)</f>
        <v>0</v>
      </c>
      <c r="U26" s="780">
        <f>VLOOKUP($A26,[7]Sheet1!$B$2:$U$70,14,FALSE)</f>
        <v>11.75</v>
      </c>
      <c r="V26" s="780">
        <f>VLOOKUP($A26,[7]Sheet1!$B$2:$U$70,15,FALSE)</f>
        <v>1</v>
      </c>
      <c r="W26" s="779">
        <f>VLOOKUP($A26,[7]Sheet1!$B$2:$U$70,16,FALSE)</f>
        <v>577501</v>
      </c>
      <c r="X26" s="744">
        <f t="shared" si="12"/>
        <v>577501</v>
      </c>
      <c r="Y26" s="781">
        <f t="shared" si="13"/>
        <v>14.85</v>
      </c>
      <c r="Z26" s="744">
        <f t="shared" si="13"/>
        <v>3562678</v>
      </c>
      <c r="AA26" s="744">
        <f t="shared" si="14"/>
        <v>4097960</v>
      </c>
      <c r="AB26" s="782">
        <f t="shared" si="2"/>
        <v>2.36</v>
      </c>
      <c r="AC26" s="783">
        <f t="shared" si="3"/>
        <v>28.91</v>
      </c>
      <c r="AD26" s="784">
        <f t="shared" si="4"/>
        <v>31.27</v>
      </c>
      <c r="AE26" s="785">
        <f>VLOOKUP($A26,[8]Sheet1!$A$3:$H$71,4,FALSE)</f>
        <v>0</v>
      </c>
      <c r="AF26" s="785">
        <f t="shared" si="15"/>
        <v>7660638</v>
      </c>
      <c r="AG26" s="786">
        <f>VLOOKUP($A26,[7]Sheet1!$B$2:$U$70,17,FALSE)</f>
        <v>0.02</v>
      </c>
      <c r="AH26" s="787">
        <f>VLOOKUP($A26,[7]Sheet1!$B$2:$U$70,18,FALSE)</f>
        <v>7580227</v>
      </c>
      <c r="AI26" s="787">
        <f>VLOOKUP($A26,[7]Sheet1!$B$2:$U$70,19,FALSE)</f>
        <v>0</v>
      </c>
      <c r="AJ26" s="787">
        <f>VLOOKUP($A26,[8]Sheet1!$A$3:$H$71,7,FALSE)</f>
        <v>0</v>
      </c>
      <c r="AK26" s="788">
        <f t="shared" si="16"/>
        <v>7580227</v>
      </c>
      <c r="AL26" s="785">
        <v>371452100</v>
      </c>
      <c r="AM26" s="785">
        <f t="shared" si="19"/>
        <v>379011350</v>
      </c>
      <c r="AN26" s="786">
        <f t="shared" si="17"/>
        <v>2.0350537794778922E-2</v>
      </c>
      <c r="AO26" s="785">
        <f t="shared" si="18"/>
        <v>379011350</v>
      </c>
      <c r="AP26" s="776">
        <f t="shared" si="6"/>
        <v>0.02</v>
      </c>
      <c r="AQ26" s="776">
        <f t="shared" si="7"/>
        <v>0</v>
      </c>
      <c r="AR26" s="785">
        <f>VLOOKUP($A26,[7]Sheet1!$B$2:$U$70,20,FALSE)</f>
        <v>207124</v>
      </c>
      <c r="AS26" s="785">
        <f t="shared" si="8"/>
        <v>15447989</v>
      </c>
      <c r="AT26" s="785">
        <f>ROUND(AS26/'3_Levels 1&amp;2'!C26,2)</f>
        <v>2799.56</v>
      </c>
    </row>
    <row r="27" spans="1:46" ht="15" customHeight="1" x14ac:dyDescent="0.2">
      <c r="A27" s="738">
        <v>21</v>
      </c>
      <c r="B27" s="760" t="s">
        <v>151</v>
      </c>
      <c r="C27" s="740">
        <f>VLOOKUP($A27,[6]Breakout!$A$4:$E$72,3,FALSE)</f>
        <v>136411776</v>
      </c>
      <c r="D27" s="740">
        <f>VLOOKUP($A27,[6]Breakout!$A$4:$E$72,4,FALSE)</f>
        <v>29499483</v>
      </c>
      <c r="E27" s="740">
        <f t="shared" si="9"/>
        <v>106912293</v>
      </c>
      <c r="F27" s="740">
        <v>107786772</v>
      </c>
      <c r="G27" s="761">
        <f t="shared" si="10"/>
        <v>-8.1130456342082494E-3</v>
      </c>
      <c r="H27" s="762">
        <f t="shared" si="1"/>
        <v>106912293</v>
      </c>
      <c r="I27" s="763">
        <f>VLOOKUP($A27,[7]Sheet1!$B$2:$U$70,3,FALSE)</f>
        <v>4.6100000000000003</v>
      </c>
      <c r="J27" s="764">
        <f>VLOOKUP($A27,[7]Sheet1!$B$2:$U$70,4,FALSE)</f>
        <v>476003</v>
      </c>
      <c r="K27" s="763">
        <f>VLOOKUP($A27,[7]Sheet1!$B$2:$U$70,5,FALSE)</f>
        <v>20.170000000000002</v>
      </c>
      <c r="L27" s="764">
        <f>VLOOKUP($A27,[7]Sheet1!$B$2:$U$70,6,FALSE)</f>
        <v>2082646</v>
      </c>
      <c r="M27" s="765">
        <f>VLOOKUP($A27,[7]Sheet1!$B$2:$U$70,7,FALSE)</f>
        <v>0</v>
      </c>
      <c r="N27" s="765">
        <f>VLOOKUP($A27,[7]Sheet1!$B$2:$U$70,8,FALSE)</f>
        <v>0</v>
      </c>
      <c r="O27" s="765">
        <f>VLOOKUP($A27,[7]Sheet1!$B$2:$U$70,9,FALSE)</f>
        <v>0</v>
      </c>
      <c r="P27" s="764">
        <f>VLOOKUP($A27,[7]Sheet1!$B$2:$U$70,10,FALSE)</f>
        <v>0</v>
      </c>
      <c r="Q27" s="740">
        <f t="shared" si="11"/>
        <v>2558649</v>
      </c>
      <c r="R27" s="766">
        <f>VLOOKUP($A27,[7]Sheet1!$B$2:$U$70,11,FALSE)</f>
        <v>0</v>
      </c>
      <c r="S27" s="764">
        <f>VLOOKUP($A27,[7]Sheet1!$B$2:$U$70,12,FALSE)</f>
        <v>0</v>
      </c>
      <c r="T27" s="765">
        <f>VLOOKUP($A27,[7]Sheet1!$B$2:$U$70,13,FALSE)</f>
        <v>0</v>
      </c>
      <c r="U27" s="765">
        <f>VLOOKUP($A27,[7]Sheet1!$B$2:$U$70,14,FALSE)</f>
        <v>0</v>
      </c>
      <c r="V27" s="765">
        <f>VLOOKUP($A27,[7]Sheet1!$B$2:$U$70,15,FALSE)</f>
        <v>0</v>
      </c>
      <c r="W27" s="764">
        <f>VLOOKUP($A27,[7]Sheet1!$B$2:$U$70,16,FALSE)</f>
        <v>0</v>
      </c>
      <c r="X27" s="740">
        <f t="shared" si="12"/>
        <v>0</v>
      </c>
      <c r="Y27" s="767">
        <f t="shared" si="13"/>
        <v>24.78</v>
      </c>
      <c r="Z27" s="740">
        <f t="shared" si="13"/>
        <v>2558649</v>
      </c>
      <c r="AA27" s="740">
        <f t="shared" si="14"/>
        <v>0</v>
      </c>
      <c r="AB27" s="768">
        <f t="shared" si="2"/>
        <v>0</v>
      </c>
      <c r="AC27" s="769">
        <f t="shared" si="3"/>
        <v>23.93</v>
      </c>
      <c r="AD27" s="770">
        <f t="shared" si="4"/>
        <v>23.93</v>
      </c>
      <c r="AE27" s="771">
        <f>VLOOKUP($A27,[8]Sheet1!$A$3:$H$71,4,FALSE)</f>
        <v>0</v>
      </c>
      <c r="AF27" s="771">
        <f t="shared" si="15"/>
        <v>2558649</v>
      </c>
      <c r="AG27" s="772">
        <f>VLOOKUP($A27,[7]Sheet1!$B$2:$U$70,17,FALSE)</f>
        <v>0.02</v>
      </c>
      <c r="AH27" s="38">
        <f>VLOOKUP($A27,[7]Sheet1!$B$2:$U$70,18,FALSE)</f>
        <v>5543815</v>
      </c>
      <c r="AI27" s="38">
        <f>VLOOKUP($A27,[7]Sheet1!$B$2:$U$70,19,FALSE)</f>
        <v>0</v>
      </c>
      <c r="AJ27" s="38">
        <f>VLOOKUP($A27,[8]Sheet1!$A$3:$H$71,7,FALSE)</f>
        <v>0</v>
      </c>
      <c r="AK27" s="773">
        <f t="shared" si="16"/>
        <v>5543815</v>
      </c>
      <c r="AL27" s="771">
        <v>258836650</v>
      </c>
      <c r="AM27" s="771">
        <f t="shared" si="19"/>
        <v>277190750</v>
      </c>
      <c r="AN27" s="774">
        <f t="shared" si="17"/>
        <v>7.0909973529637321E-2</v>
      </c>
      <c r="AO27" s="789">
        <f t="shared" si="18"/>
        <v>277190750</v>
      </c>
      <c r="AP27" s="761">
        <f t="shared" si="6"/>
        <v>0.02</v>
      </c>
      <c r="AQ27" s="761">
        <f t="shared" si="7"/>
        <v>0</v>
      </c>
      <c r="AR27" s="771">
        <f>VLOOKUP($A27,[7]Sheet1!$B$2:$U$70,20,FALSE)</f>
        <v>79266</v>
      </c>
      <c r="AS27" s="771">
        <f t="shared" si="8"/>
        <v>8181730</v>
      </c>
      <c r="AT27" s="771">
        <f>ROUND(AS27/'3_Levels 1&amp;2'!C27,2)</f>
        <v>2939.9</v>
      </c>
    </row>
    <row r="28" spans="1:46" ht="15" customHeight="1" x14ac:dyDescent="0.2">
      <c r="A28" s="738">
        <v>22</v>
      </c>
      <c r="B28" s="760" t="s">
        <v>152</v>
      </c>
      <c r="C28" s="740">
        <f>VLOOKUP($A28,[6]Breakout!$A$4:$E$72,3,FALSE)</f>
        <v>90897510</v>
      </c>
      <c r="D28" s="740">
        <f>VLOOKUP($A28,[6]Breakout!$A$4:$E$72,4,FALSE)</f>
        <v>33645950</v>
      </c>
      <c r="E28" s="740">
        <f t="shared" si="9"/>
        <v>57251560</v>
      </c>
      <c r="F28" s="740">
        <v>56438797</v>
      </c>
      <c r="G28" s="761">
        <f t="shared" si="10"/>
        <v>1.4400785332118259E-2</v>
      </c>
      <c r="H28" s="762">
        <f t="shared" si="1"/>
        <v>57251560</v>
      </c>
      <c r="I28" s="763">
        <f>VLOOKUP($A28,[7]Sheet1!$B$2:$U$70,3,FALSE)</f>
        <v>5.63</v>
      </c>
      <c r="J28" s="764">
        <f>VLOOKUP($A28,[7]Sheet1!$B$2:$U$70,4,FALSE)</f>
        <v>316182</v>
      </c>
      <c r="K28" s="763">
        <f>VLOOKUP($A28,[7]Sheet1!$B$2:$U$70,5,FALSE)</f>
        <v>23.05</v>
      </c>
      <c r="L28" s="764">
        <f>VLOOKUP($A28,[7]Sheet1!$B$2:$U$70,6,FALSE)</f>
        <v>1885079</v>
      </c>
      <c r="M28" s="765">
        <f>VLOOKUP($A28,[7]Sheet1!$B$2:$U$70,7,FALSE)</f>
        <v>0</v>
      </c>
      <c r="N28" s="765">
        <f>VLOOKUP($A28,[7]Sheet1!$B$2:$U$70,8,FALSE)</f>
        <v>15.86</v>
      </c>
      <c r="O28" s="765">
        <f>VLOOKUP($A28,[7]Sheet1!$B$2:$U$70,9,FALSE)</f>
        <v>8</v>
      </c>
      <c r="P28" s="764">
        <f>VLOOKUP($A28,[7]Sheet1!$B$2:$U$70,10,FALSE)</f>
        <v>0</v>
      </c>
      <c r="Q28" s="740">
        <f t="shared" si="11"/>
        <v>2201261</v>
      </c>
      <c r="R28" s="765">
        <f>VLOOKUP($A28,[7]Sheet1!$B$2:$U$70,11,FALSE)</f>
        <v>59</v>
      </c>
      <c r="S28" s="764">
        <f>VLOOKUP($A28,[7]Sheet1!$B$2:$U$70,12,FALSE)</f>
        <v>1104622</v>
      </c>
      <c r="T28" s="765">
        <f>VLOOKUP($A28,[7]Sheet1!$B$2:$U$70,13,FALSE)</f>
        <v>0</v>
      </c>
      <c r="U28" s="765">
        <f>VLOOKUP($A28,[7]Sheet1!$B$2:$U$70,14,FALSE)</f>
        <v>23</v>
      </c>
      <c r="V28" s="765">
        <f>VLOOKUP($A28,[7]Sheet1!$B$2:$U$70,15,FALSE)</f>
        <v>3</v>
      </c>
      <c r="W28" s="764">
        <f>VLOOKUP($A28,[7]Sheet1!$B$2:$U$70,16,FALSE)</f>
        <v>0</v>
      </c>
      <c r="X28" s="740">
        <f t="shared" si="12"/>
        <v>1104622</v>
      </c>
      <c r="Y28" s="767">
        <f t="shared" si="13"/>
        <v>87.68</v>
      </c>
      <c r="Z28" s="740">
        <f t="shared" si="13"/>
        <v>3305883</v>
      </c>
      <c r="AA28" s="740">
        <f t="shared" si="14"/>
        <v>0</v>
      </c>
      <c r="AB28" s="768">
        <f t="shared" si="2"/>
        <v>19.29</v>
      </c>
      <c r="AC28" s="769">
        <f t="shared" si="3"/>
        <v>38.450000000000003</v>
      </c>
      <c r="AD28" s="770">
        <f t="shared" si="4"/>
        <v>57.74</v>
      </c>
      <c r="AE28" s="771">
        <f>VLOOKUP($A28,[8]Sheet1!$A$3:$H$71,4,FALSE)</f>
        <v>0</v>
      </c>
      <c r="AF28" s="771">
        <f t="shared" si="15"/>
        <v>3305883</v>
      </c>
      <c r="AG28" s="772">
        <f>VLOOKUP($A28,[7]Sheet1!$B$2:$U$70,17,FALSE)</f>
        <v>0.02</v>
      </c>
      <c r="AH28" s="38">
        <f>VLOOKUP($A28,[7]Sheet1!$B$2:$U$70,18,FALSE)</f>
        <v>2804660</v>
      </c>
      <c r="AI28" s="38">
        <f>VLOOKUP($A28,[7]Sheet1!$B$2:$U$70,19,FALSE)</f>
        <v>0</v>
      </c>
      <c r="AJ28" s="38">
        <f>VLOOKUP($A28,[8]Sheet1!$A$3:$H$71,7,FALSE)</f>
        <v>0</v>
      </c>
      <c r="AK28" s="773">
        <f t="shared" si="16"/>
        <v>2804660</v>
      </c>
      <c r="AL28" s="771">
        <v>132074400</v>
      </c>
      <c r="AM28" s="771">
        <f t="shared" si="19"/>
        <v>140233000</v>
      </c>
      <c r="AN28" s="774">
        <f t="shared" si="17"/>
        <v>6.1772758384668038E-2</v>
      </c>
      <c r="AO28" s="789">
        <f t="shared" si="18"/>
        <v>140233000</v>
      </c>
      <c r="AP28" s="761">
        <f t="shared" si="6"/>
        <v>0.02</v>
      </c>
      <c r="AQ28" s="761">
        <f t="shared" si="7"/>
        <v>0</v>
      </c>
      <c r="AR28" s="771">
        <f>VLOOKUP($A28,[7]Sheet1!$B$2:$U$70,20,FALSE)</f>
        <v>378456</v>
      </c>
      <c r="AS28" s="771">
        <f t="shared" si="8"/>
        <v>6488999</v>
      </c>
      <c r="AT28" s="771">
        <f>ROUND(AS28/'3_Levels 1&amp;2'!C28,2)</f>
        <v>2295.37</v>
      </c>
    </row>
    <row r="29" spans="1:46" ht="15" customHeight="1" x14ac:dyDescent="0.2">
      <c r="A29" s="738">
        <v>23</v>
      </c>
      <c r="B29" s="760" t="s">
        <v>153</v>
      </c>
      <c r="C29" s="740">
        <f>VLOOKUP($A29,[6]Breakout!$A$4:$E$72,3,FALSE)</f>
        <v>714978933</v>
      </c>
      <c r="D29" s="740">
        <f>VLOOKUP($A29,[6]Breakout!$A$4:$E$72,4,FALSE)</f>
        <v>111437981</v>
      </c>
      <c r="E29" s="740">
        <f t="shared" si="9"/>
        <v>603540952</v>
      </c>
      <c r="F29" s="740">
        <v>605492258</v>
      </c>
      <c r="G29" s="761">
        <f t="shared" si="10"/>
        <v>-3.2226770437087902E-3</v>
      </c>
      <c r="H29" s="762">
        <f t="shared" si="1"/>
        <v>603540952</v>
      </c>
      <c r="I29" s="763">
        <f>VLOOKUP($A29,[7]Sheet1!$B$2:$U$70,3,FALSE)</f>
        <v>4.47</v>
      </c>
      <c r="J29" s="764">
        <f>VLOOKUP($A29,[7]Sheet1!$B$2:$U$70,4,FALSE)</f>
        <v>2642143</v>
      </c>
      <c r="K29" s="763">
        <f>VLOOKUP($A29,[7]Sheet1!$B$2:$U$70,5,FALSE)</f>
        <v>6.15</v>
      </c>
      <c r="L29" s="764">
        <f>VLOOKUP($A29,[7]Sheet1!$B$2:$U$70,6,FALSE)</f>
        <v>3634787</v>
      </c>
      <c r="M29" s="765">
        <f>VLOOKUP($A29,[7]Sheet1!$B$2:$U$70,7,FALSE)</f>
        <v>0</v>
      </c>
      <c r="N29" s="765">
        <f>VLOOKUP($A29,[7]Sheet1!$B$2:$U$70,8,FALSE)</f>
        <v>0</v>
      </c>
      <c r="O29" s="765">
        <f>VLOOKUP($A29,[7]Sheet1!$B$2:$U$70,9,FALSE)</f>
        <v>0</v>
      </c>
      <c r="P29" s="764">
        <f>VLOOKUP($A29,[7]Sheet1!$B$2:$U$70,10,FALSE)</f>
        <v>0</v>
      </c>
      <c r="Q29" s="740">
        <f t="shared" si="11"/>
        <v>6276930</v>
      </c>
      <c r="R29" s="765">
        <f>VLOOKUP($A29,[7]Sheet1!$B$2:$U$70,11,FALSE)</f>
        <v>21.9</v>
      </c>
      <c r="S29" s="764">
        <f>VLOOKUP($A29,[7]Sheet1!$B$2:$U$70,12,FALSE)</f>
        <v>12943393</v>
      </c>
      <c r="T29" s="765">
        <f>VLOOKUP($A29,[7]Sheet1!$B$2:$U$70,13,FALSE)</f>
        <v>0</v>
      </c>
      <c r="U29" s="765">
        <f>VLOOKUP($A29,[7]Sheet1!$B$2:$U$70,14,FALSE)</f>
        <v>0</v>
      </c>
      <c r="V29" s="765">
        <f>VLOOKUP($A29,[7]Sheet1!$B$2:$U$70,15,FALSE)</f>
        <v>0</v>
      </c>
      <c r="W29" s="764">
        <f>VLOOKUP($A29,[7]Sheet1!$B$2:$U$70,16,FALSE)</f>
        <v>0</v>
      </c>
      <c r="X29" s="740">
        <f t="shared" si="12"/>
        <v>12943393</v>
      </c>
      <c r="Y29" s="767">
        <f t="shared" si="13"/>
        <v>32.519999999999996</v>
      </c>
      <c r="Z29" s="740">
        <f t="shared" si="13"/>
        <v>19220323</v>
      </c>
      <c r="AA29" s="740">
        <f t="shared" si="14"/>
        <v>0</v>
      </c>
      <c r="AB29" s="768">
        <f t="shared" si="2"/>
        <v>21.45</v>
      </c>
      <c r="AC29" s="769">
        <f t="shared" si="3"/>
        <v>10.4</v>
      </c>
      <c r="AD29" s="770">
        <f t="shared" si="4"/>
        <v>31.85</v>
      </c>
      <c r="AE29" s="771">
        <f>VLOOKUP($A29,[8]Sheet1!$A$3:$H$71,4,FALSE)</f>
        <v>0</v>
      </c>
      <c r="AF29" s="771">
        <f t="shared" si="15"/>
        <v>19220323</v>
      </c>
      <c r="AG29" s="772">
        <f>VLOOKUP($A29,[7]Sheet1!$B$2:$U$70,17,FALSE)</f>
        <v>0.02</v>
      </c>
      <c r="AH29" s="38">
        <f>VLOOKUP($A29,[7]Sheet1!$B$2:$U$70,18,FALSE)</f>
        <v>26361116</v>
      </c>
      <c r="AI29" s="38">
        <f>VLOOKUP($A29,[7]Sheet1!$B$2:$U$70,19,FALSE)</f>
        <v>0</v>
      </c>
      <c r="AJ29" s="38">
        <f>VLOOKUP($A29,[8]Sheet1!$A$3:$H$71,7,FALSE)</f>
        <v>0</v>
      </c>
      <c r="AK29" s="773">
        <f t="shared" si="16"/>
        <v>26361116</v>
      </c>
      <c r="AL29" s="771">
        <v>1297868450</v>
      </c>
      <c r="AM29" s="771">
        <f t="shared" si="19"/>
        <v>1318055800</v>
      </c>
      <c r="AN29" s="772">
        <f t="shared" si="17"/>
        <v>1.5554234329372904E-2</v>
      </c>
      <c r="AO29" s="771">
        <f t="shared" si="18"/>
        <v>1318055800</v>
      </c>
      <c r="AP29" s="761">
        <f t="shared" si="6"/>
        <v>0.02</v>
      </c>
      <c r="AQ29" s="761">
        <f t="shared" si="7"/>
        <v>0</v>
      </c>
      <c r="AR29" s="771">
        <f>VLOOKUP($A29,[7]Sheet1!$B$2:$U$70,20,FALSE)</f>
        <v>482886</v>
      </c>
      <c r="AS29" s="771">
        <f t="shared" si="8"/>
        <v>46064325</v>
      </c>
      <c r="AT29" s="771">
        <f>ROUND(AS29/'3_Levels 1&amp;2'!C29,2)</f>
        <v>3937.79</v>
      </c>
    </row>
    <row r="30" spans="1:46" ht="15" customHeight="1" x14ac:dyDescent="0.2">
      <c r="A30" s="738">
        <v>24</v>
      </c>
      <c r="B30" s="760" t="s">
        <v>154</v>
      </c>
      <c r="C30" s="740">
        <f>VLOOKUP($A30,[6]Breakout!$A$4:$E$72,3,FALSE)</f>
        <v>756525905</v>
      </c>
      <c r="D30" s="740">
        <f>VLOOKUP($A30,[6]Breakout!$A$4:$E$72,4,FALSE)</f>
        <v>49222390</v>
      </c>
      <c r="E30" s="740">
        <f t="shared" si="9"/>
        <v>707303515</v>
      </c>
      <c r="F30" s="740">
        <v>594891280</v>
      </c>
      <c r="G30" s="761">
        <f t="shared" si="10"/>
        <v>0.18896265381466004</v>
      </c>
      <c r="H30" s="762">
        <f t="shared" si="1"/>
        <v>654380408</v>
      </c>
      <c r="I30" s="763">
        <f>VLOOKUP($A30,[7]Sheet1!$B$2:$U$70,3,FALSE)</f>
        <v>3.49</v>
      </c>
      <c r="J30" s="764">
        <f>VLOOKUP($A30,[7]Sheet1!$B$2:$U$70,4,FALSE)</f>
        <v>2448381</v>
      </c>
      <c r="K30" s="763">
        <f>VLOOKUP($A30,[7]Sheet1!$B$2:$U$70,5,FALSE)</f>
        <v>54.34</v>
      </c>
      <c r="L30" s="764">
        <f>VLOOKUP($A30,[7]Sheet1!$B$2:$U$70,6,FALSE)</f>
        <v>35002172</v>
      </c>
      <c r="M30" s="765">
        <f>VLOOKUP($A30,[7]Sheet1!$B$2:$U$70,7,FALSE)</f>
        <v>0</v>
      </c>
      <c r="N30" s="765">
        <f>VLOOKUP($A30,[7]Sheet1!$B$2:$U$70,8,FALSE)</f>
        <v>0</v>
      </c>
      <c r="O30" s="765">
        <f>VLOOKUP($A30,[7]Sheet1!$B$2:$U$70,9,FALSE)</f>
        <v>0</v>
      </c>
      <c r="P30" s="764">
        <f>VLOOKUP($A30,[7]Sheet1!$B$2:$U$70,10,FALSE)</f>
        <v>0</v>
      </c>
      <c r="Q30" s="740">
        <f t="shared" si="11"/>
        <v>37450553</v>
      </c>
      <c r="R30" s="765">
        <f>VLOOKUP($A30,[7]Sheet1!$B$2:$U$70,11,FALSE)</f>
        <v>0</v>
      </c>
      <c r="S30" s="764">
        <f>VLOOKUP($A30,[7]Sheet1!$B$2:$U$70,12,FALSE)</f>
        <v>3165000</v>
      </c>
      <c r="T30" s="765">
        <f>VLOOKUP($A30,[7]Sheet1!$B$2:$U$70,13,FALSE)</f>
        <v>0</v>
      </c>
      <c r="U30" s="765">
        <f>VLOOKUP($A30,[7]Sheet1!$B$2:$U$70,14,FALSE)</f>
        <v>0</v>
      </c>
      <c r="V30" s="765">
        <f>VLOOKUP($A30,[7]Sheet1!$B$2:$U$70,15,FALSE)</f>
        <v>0</v>
      </c>
      <c r="W30" s="764">
        <f>VLOOKUP($A30,[7]Sheet1!$B$2:$U$70,16,FALSE)</f>
        <v>0</v>
      </c>
      <c r="X30" s="740">
        <f t="shared" si="12"/>
        <v>3165000</v>
      </c>
      <c r="Y30" s="767">
        <f t="shared" si="13"/>
        <v>57.830000000000005</v>
      </c>
      <c r="Z30" s="740">
        <f t="shared" si="13"/>
        <v>40615553</v>
      </c>
      <c r="AA30" s="740">
        <f t="shared" si="14"/>
        <v>0</v>
      </c>
      <c r="AB30" s="768">
        <f t="shared" si="2"/>
        <v>4.47</v>
      </c>
      <c r="AC30" s="769">
        <f t="shared" si="3"/>
        <v>52.95</v>
      </c>
      <c r="AD30" s="770">
        <f t="shared" si="4"/>
        <v>57.42</v>
      </c>
      <c r="AE30" s="771">
        <f>VLOOKUP($A30,[8]Sheet1!$A$3:$H$71,4,FALSE)</f>
        <v>0</v>
      </c>
      <c r="AF30" s="771">
        <f t="shared" si="15"/>
        <v>40615553</v>
      </c>
      <c r="AG30" s="772">
        <f>VLOOKUP($A30,[7]Sheet1!$B$2:$U$70,17,FALSE)</f>
        <v>0.02</v>
      </c>
      <c r="AH30" s="38">
        <f>VLOOKUP($A30,[7]Sheet1!$B$2:$U$70,18,FALSE)</f>
        <v>29103509</v>
      </c>
      <c r="AI30" s="38">
        <f>VLOOKUP($A30,[7]Sheet1!$B$2:$U$70,19,FALSE)</f>
        <v>0</v>
      </c>
      <c r="AJ30" s="38">
        <f>VLOOKUP($A30,[8]Sheet1!$A$3:$H$71,7,FALSE)</f>
        <v>0</v>
      </c>
      <c r="AK30" s="773">
        <f t="shared" si="16"/>
        <v>29103509</v>
      </c>
      <c r="AL30" s="771">
        <v>1303180950</v>
      </c>
      <c r="AM30" s="771">
        <f t="shared" si="19"/>
        <v>1455175450</v>
      </c>
      <c r="AN30" s="772">
        <f t="shared" si="17"/>
        <v>0.11663345754095009</v>
      </c>
      <c r="AO30" s="771">
        <f t="shared" si="18"/>
        <v>1455175450</v>
      </c>
      <c r="AP30" s="761">
        <f t="shared" si="6"/>
        <v>0.02</v>
      </c>
      <c r="AQ30" s="761">
        <f t="shared" si="7"/>
        <v>0</v>
      </c>
      <c r="AR30" s="771">
        <f>VLOOKUP($A30,[7]Sheet1!$B$2:$U$70,20,FALSE)</f>
        <v>136804</v>
      </c>
      <c r="AS30" s="771">
        <f t="shared" si="8"/>
        <v>69855866</v>
      </c>
      <c r="AT30" s="771">
        <f>ROUND(AS30/'3_Levels 1&amp;2'!C30,2)</f>
        <v>16703.939999999999</v>
      </c>
    </row>
    <row r="31" spans="1:46" ht="15" customHeight="1" x14ac:dyDescent="0.2">
      <c r="A31" s="742">
        <v>25</v>
      </c>
      <c r="B31" s="775" t="s">
        <v>155</v>
      </c>
      <c r="C31" s="744">
        <f>VLOOKUP($A31,[6]Breakout!$A$4:$E$72,3,FALSE)</f>
        <v>228002460</v>
      </c>
      <c r="D31" s="744">
        <f>VLOOKUP($A31,[6]Breakout!$A$4:$E$72,4,FALSE)</f>
        <v>21352300</v>
      </c>
      <c r="E31" s="744">
        <f t="shared" si="9"/>
        <v>206650160</v>
      </c>
      <c r="F31" s="744">
        <v>213236750</v>
      </c>
      <c r="G31" s="776">
        <f t="shared" si="10"/>
        <v>-3.088862496731919E-2</v>
      </c>
      <c r="H31" s="777">
        <f t="shared" si="1"/>
        <v>206650160</v>
      </c>
      <c r="I31" s="778">
        <f>VLOOKUP($A31,[7]Sheet1!$B$2:$U$70,3,FALSE)</f>
        <v>4.9800000000000004</v>
      </c>
      <c r="J31" s="779">
        <f>VLOOKUP($A31,[7]Sheet1!$B$2:$U$70,4,FALSE)</f>
        <v>993475</v>
      </c>
      <c r="K31" s="778">
        <f>VLOOKUP($A31,[7]Sheet1!$B$2:$U$70,5,FALSE)</f>
        <v>21.05</v>
      </c>
      <c r="L31" s="779">
        <f>VLOOKUP($A31,[7]Sheet1!$B$2:$U$70,6,FALSE)</f>
        <v>4199298</v>
      </c>
      <c r="M31" s="780">
        <f>VLOOKUP($A31,[7]Sheet1!$B$2:$U$70,7,FALSE)</f>
        <v>0</v>
      </c>
      <c r="N31" s="780">
        <f>VLOOKUP($A31,[7]Sheet1!$B$2:$U$70,8,FALSE)</f>
        <v>0</v>
      </c>
      <c r="O31" s="780">
        <f>VLOOKUP($A31,[7]Sheet1!$B$2:$U$70,9,FALSE)</f>
        <v>0</v>
      </c>
      <c r="P31" s="779">
        <f>VLOOKUP($A31,[7]Sheet1!$B$2:$U$70,10,FALSE)</f>
        <v>0</v>
      </c>
      <c r="Q31" s="744">
        <f t="shared" si="11"/>
        <v>5192773</v>
      </c>
      <c r="R31" s="780">
        <f>VLOOKUP($A31,[7]Sheet1!$B$2:$U$70,11,FALSE)</f>
        <v>0</v>
      </c>
      <c r="S31" s="779">
        <f>VLOOKUP($A31,[7]Sheet1!$B$2:$U$70,12,FALSE)</f>
        <v>0</v>
      </c>
      <c r="T31" s="780">
        <f>VLOOKUP($A31,[7]Sheet1!$B$2:$U$70,13,FALSE)</f>
        <v>0</v>
      </c>
      <c r="U31" s="780">
        <f>VLOOKUP($A31,[7]Sheet1!$B$2:$U$70,14,FALSE)</f>
        <v>0</v>
      </c>
      <c r="V31" s="780">
        <f>VLOOKUP($A31,[7]Sheet1!$B$2:$U$70,15,FALSE)</f>
        <v>0</v>
      </c>
      <c r="W31" s="779">
        <f>VLOOKUP($A31,[7]Sheet1!$B$2:$U$70,16,FALSE)</f>
        <v>0</v>
      </c>
      <c r="X31" s="744">
        <f t="shared" si="12"/>
        <v>0</v>
      </c>
      <c r="Y31" s="781">
        <f t="shared" si="13"/>
        <v>26.03</v>
      </c>
      <c r="Z31" s="744">
        <f t="shared" si="13"/>
        <v>5192773</v>
      </c>
      <c r="AA31" s="744">
        <f t="shared" si="14"/>
        <v>0</v>
      </c>
      <c r="AB31" s="782">
        <f t="shared" si="2"/>
        <v>0</v>
      </c>
      <c r="AC31" s="783">
        <f t="shared" si="3"/>
        <v>25.13</v>
      </c>
      <c r="AD31" s="784">
        <f t="shared" si="4"/>
        <v>25.13</v>
      </c>
      <c r="AE31" s="785">
        <f>VLOOKUP($A31,[8]Sheet1!$A$3:$H$71,4,FALSE)</f>
        <v>0</v>
      </c>
      <c r="AF31" s="785">
        <f t="shared" si="15"/>
        <v>5192773</v>
      </c>
      <c r="AG31" s="786">
        <f>VLOOKUP($A31,[7]Sheet1!$B$2:$U$70,17,FALSE)</f>
        <v>0.03</v>
      </c>
      <c r="AH31" s="787">
        <f>VLOOKUP($A31,[7]Sheet1!$B$2:$U$70,18,FALSE)</f>
        <v>5157087</v>
      </c>
      <c r="AI31" s="787">
        <f>VLOOKUP($A31,[7]Sheet1!$B$2:$U$70,19,FALSE)</f>
        <v>0</v>
      </c>
      <c r="AJ31" s="787">
        <f>VLOOKUP($A31,[8]Sheet1!$A$3:$H$71,7,FALSE)</f>
        <v>0</v>
      </c>
      <c r="AK31" s="788">
        <f t="shared" si="16"/>
        <v>5157087</v>
      </c>
      <c r="AL31" s="785">
        <v>171266400</v>
      </c>
      <c r="AM31" s="785">
        <f t="shared" si="19"/>
        <v>171902900</v>
      </c>
      <c r="AN31" s="786">
        <f t="shared" si="17"/>
        <v>3.7164324117281615E-3</v>
      </c>
      <c r="AO31" s="785">
        <f t="shared" si="18"/>
        <v>171902900</v>
      </c>
      <c r="AP31" s="776">
        <f t="shared" si="6"/>
        <v>0.03</v>
      </c>
      <c r="AQ31" s="776">
        <f t="shared" si="7"/>
        <v>0</v>
      </c>
      <c r="AR31" s="785">
        <f>VLOOKUP($A31,[7]Sheet1!$B$2:$U$70,20,FALSE)</f>
        <v>86554</v>
      </c>
      <c r="AS31" s="785">
        <f t="shared" si="8"/>
        <v>10436414</v>
      </c>
      <c r="AT31" s="785">
        <f>ROUND(AS31/'3_Levels 1&amp;2'!C31,2)</f>
        <v>4883.68</v>
      </c>
    </row>
    <row r="32" spans="1:46" s="404" customFormat="1" ht="15" customHeight="1" x14ac:dyDescent="0.2">
      <c r="A32" s="738">
        <v>26</v>
      </c>
      <c r="B32" s="760" t="s">
        <v>156</v>
      </c>
      <c r="C32" s="740">
        <f>VLOOKUP($A32,[6]Breakout!$A$4:$E$72,3,FALSE)</f>
        <v>4576007192</v>
      </c>
      <c r="D32" s="740">
        <f>VLOOKUP($A32,[6]Breakout!$A$4:$E$72,4,FALSE)</f>
        <v>747604600</v>
      </c>
      <c r="E32" s="740">
        <f t="shared" si="9"/>
        <v>3828402592</v>
      </c>
      <c r="F32" s="740">
        <v>3718039200</v>
      </c>
      <c r="G32" s="761">
        <f t="shared" si="10"/>
        <v>2.9683224426466509E-2</v>
      </c>
      <c r="H32" s="762">
        <f t="shared" si="1"/>
        <v>3828402592</v>
      </c>
      <c r="I32" s="763">
        <f>VLOOKUP($A32,[7]Sheet1!$B$2:$U$70,3,FALSE)</f>
        <v>2.91</v>
      </c>
      <c r="J32" s="764">
        <f>VLOOKUP($A32,[7]Sheet1!$B$2:$U$70,4,FALSE)</f>
        <v>5342165</v>
      </c>
      <c r="K32" s="763">
        <f>VLOOKUP($A32,[7]Sheet1!$B$2:$U$70,5,FALSE)</f>
        <v>20</v>
      </c>
      <c r="L32" s="764">
        <f>VLOOKUP($A32,[7]Sheet1!$B$2:$U$70,6,FALSE)</f>
        <v>105394529</v>
      </c>
      <c r="M32" s="765">
        <f>VLOOKUP($A32,[7]Sheet1!$B$2:$U$70,7,FALSE)</f>
        <v>0</v>
      </c>
      <c r="N32" s="765">
        <f>VLOOKUP($A32,[7]Sheet1!$B$2:$U$70,8,FALSE)</f>
        <v>0</v>
      </c>
      <c r="O32" s="765">
        <f>VLOOKUP($A32,[7]Sheet1!$B$2:$U$70,9,FALSE)</f>
        <v>0</v>
      </c>
      <c r="P32" s="764">
        <f>VLOOKUP($A32,[7]Sheet1!$B$2:$U$70,10,FALSE)</f>
        <v>0</v>
      </c>
      <c r="Q32" s="740">
        <f t="shared" si="11"/>
        <v>110736694</v>
      </c>
      <c r="R32" s="766">
        <f>VLOOKUP($A32,[7]Sheet1!$B$2:$U$70,11,FALSE)</f>
        <v>0</v>
      </c>
      <c r="S32" s="764">
        <f>VLOOKUP($A32,[7]Sheet1!$B$2:$U$70,12,FALSE)</f>
        <v>5679150</v>
      </c>
      <c r="T32" s="765">
        <f>VLOOKUP($A32,[7]Sheet1!$B$2:$U$70,13,FALSE)</f>
        <v>0</v>
      </c>
      <c r="U32" s="765">
        <f>VLOOKUP($A32,[7]Sheet1!$B$2:$U$70,14,FALSE)</f>
        <v>0</v>
      </c>
      <c r="V32" s="765">
        <f>VLOOKUP($A32,[7]Sheet1!$B$2:$U$70,15,FALSE)</f>
        <v>0</v>
      </c>
      <c r="W32" s="764">
        <f>VLOOKUP($A32,[7]Sheet1!$B$2:$U$70,16,FALSE)</f>
        <v>0</v>
      </c>
      <c r="X32" s="740">
        <f t="shared" si="12"/>
        <v>5679150</v>
      </c>
      <c r="Y32" s="767">
        <f t="shared" si="13"/>
        <v>22.91</v>
      </c>
      <c r="Z32" s="740">
        <f t="shared" si="13"/>
        <v>116415844</v>
      </c>
      <c r="AA32" s="740">
        <f t="shared" si="14"/>
        <v>0</v>
      </c>
      <c r="AB32" s="768">
        <f t="shared" si="2"/>
        <v>1.48</v>
      </c>
      <c r="AC32" s="769">
        <f t="shared" si="3"/>
        <v>28.93</v>
      </c>
      <c r="AD32" s="770">
        <f t="shared" si="4"/>
        <v>30.41</v>
      </c>
      <c r="AE32" s="771">
        <f>VLOOKUP($A32,[8]Sheet1!$A$3:$H$71,4,FALSE)</f>
        <v>0</v>
      </c>
      <c r="AF32" s="771">
        <f t="shared" si="15"/>
        <v>116415844</v>
      </c>
      <c r="AG32" s="772">
        <f>VLOOKUP($A32,[7]Sheet1!$B$2:$U$70,17,FALSE)</f>
        <v>0.02</v>
      </c>
      <c r="AH32" s="38">
        <f>VLOOKUP($A32,[7]Sheet1!$B$2:$U$70,18,FALSE)</f>
        <v>191806954</v>
      </c>
      <c r="AI32" s="38">
        <f>VLOOKUP($A32,[7]Sheet1!$B$2:$U$70,19,FALSE)</f>
        <v>13047575</v>
      </c>
      <c r="AJ32" s="38">
        <f>VLOOKUP($A32,[8]Sheet1!$A$3:$H$71,7,FALSE)</f>
        <v>0</v>
      </c>
      <c r="AK32" s="773">
        <f t="shared" si="16"/>
        <v>204854529</v>
      </c>
      <c r="AL32" s="771">
        <v>10234999200</v>
      </c>
      <c r="AM32" s="771">
        <f t="shared" si="19"/>
        <v>10242726450</v>
      </c>
      <c r="AN32" s="774">
        <f t="shared" si="17"/>
        <v>7.5498296081938138E-4</v>
      </c>
      <c r="AO32" s="789">
        <f t="shared" si="18"/>
        <v>10242726450</v>
      </c>
      <c r="AP32" s="761">
        <f t="shared" si="6"/>
        <v>1.8726161919515091E-2</v>
      </c>
      <c r="AQ32" s="761">
        <f t="shared" si="7"/>
        <v>1.2738380804849085E-3</v>
      </c>
      <c r="AR32" s="771">
        <f>VLOOKUP($A32,[7]Sheet1!$B$2:$U$70,20,FALSE)</f>
        <v>1826924</v>
      </c>
      <c r="AS32" s="771">
        <f t="shared" si="8"/>
        <v>323097297</v>
      </c>
      <c r="AT32" s="771">
        <f>ROUND(AS32/'3_Levels 1&amp;2'!C32,2)</f>
        <v>6482.95</v>
      </c>
    </row>
    <row r="33" spans="1:46" ht="15" customHeight="1" x14ac:dyDescent="0.2">
      <c r="A33" s="738">
        <v>27</v>
      </c>
      <c r="B33" s="760" t="s">
        <v>157</v>
      </c>
      <c r="C33" s="740">
        <f>VLOOKUP($A33,[6]Breakout!$A$4:$E$72,3,FALSE)</f>
        <v>286822669</v>
      </c>
      <c r="D33" s="740">
        <f>VLOOKUP($A33,[6]Breakout!$A$4:$E$72,4,FALSE)</f>
        <v>51367530</v>
      </c>
      <c r="E33" s="740">
        <f t="shared" si="9"/>
        <v>235455139</v>
      </c>
      <c r="F33" s="740">
        <v>221471933</v>
      </c>
      <c r="G33" s="761">
        <f t="shared" si="10"/>
        <v>6.3137598568754089E-2</v>
      </c>
      <c r="H33" s="762">
        <f t="shared" si="1"/>
        <v>235455139</v>
      </c>
      <c r="I33" s="763">
        <f>VLOOKUP($A33,[7]Sheet1!$B$2:$U$70,3,FALSE)</f>
        <v>6.48</v>
      </c>
      <c r="J33" s="764">
        <f>VLOOKUP($A33,[7]Sheet1!$B$2:$U$70,4,FALSE)</f>
        <v>1495526</v>
      </c>
      <c r="K33" s="763">
        <f>VLOOKUP($A33,[7]Sheet1!$B$2:$U$70,5,FALSE)</f>
        <v>10.77</v>
      </c>
      <c r="L33" s="764">
        <f>VLOOKUP($A33,[7]Sheet1!$B$2:$U$70,6,FALSE)</f>
        <v>2485602</v>
      </c>
      <c r="M33" s="765">
        <f>VLOOKUP($A33,[7]Sheet1!$B$2:$U$70,7,FALSE)</f>
        <v>0</v>
      </c>
      <c r="N33" s="765">
        <f>VLOOKUP($A33,[7]Sheet1!$B$2:$U$70,8,FALSE)</f>
        <v>18.91</v>
      </c>
      <c r="O33" s="765">
        <f>VLOOKUP($A33,[7]Sheet1!$B$2:$U$70,9,FALSE)</f>
        <v>7</v>
      </c>
      <c r="P33" s="764">
        <f>VLOOKUP($A33,[7]Sheet1!$B$2:$U$70,10,FALSE)</f>
        <v>2732590</v>
      </c>
      <c r="Q33" s="740">
        <f t="shared" si="11"/>
        <v>6713718</v>
      </c>
      <c r="R33" s="765">
        <f>VLOOKUP($A33,[7]Sheet1!$B$2:$U$70,11,FALSE)</f>
        <v>0</v>
      </c>
      <c r="S33" s="764">
        <f>VLOOKUP($A33,[7]Sheet1!$B$2:$U$70,12,FALSE)</f>
        <v>0</v>
      </c>
      <c r="T33" s="765">
        <f>VLOOKUP($A33,[7]Sheet1!$B$2:$U$70,13,FALSE)</f>
        <v>0</v>
      </c>
      <c r="U33" s="765">
        <f>VLOOKUP($A33,[7]Sheet1!$B$2:$U$70,14,FALSE)</f>
        <v>13</v>
      </c>
      <c r="V33" s="765">
        <f>VLOOKUP($A33,[7]Sheet1!$B$2:$U$70,15,FALSE)</f>
        <v>7</v>
      </c>
      <c r="W33" s="764">
        <f>VLOOKUP($A33,[7]Sheet1!$B$2:$U$70,16,FALSE)</f>
        <v>1877494</v>
      </c>
      <c r="X33" s="740">
        <f t="shared" si="12"/>
        <v>1877494</v>
      </c>
      <c r="Y33" s="767">
        <f t="shared" si="13"/>
        <v>17.25</v>
      </c>
      <c r="Z33" s="740">
        <f t="shared" si="13"/>
        <v>3981128</v>
      </c>
      <c r="AA33" s="740">
        <f t="shared" si="14"/>
        <v>4610084</v>
      </c>
      <c r="AB33" s="768">
        <f t="shared" si="2"/>
        <v>7.97</v>
      </c>
      <c r="AC33" s="769">
        <f t="shared" si="3"/>
        <v>28.51</v>
      </c>
      <c r="AD33" s="770">
        <f t="shared" si="4"/>
        <v>36.49</v>
      </c>
      <c r="AE33" s="771">
        <f>VLOOKUP($A33,[8]Sheet1!$A$3:$H$71,4,FALSE)</f>
        <v>0</v>
      </c>
      <c r="AF33" s="771">
        <f t="shared" si="15"/>
        <v>8591212</v>
      </c>
      <c r="AG33" s="772">
        <f>VLOOKUP($A33,[7]Sheet1!$B$2:$U$70,17,FALSE)</f>
        <v>2.5000000000000001E-2</v>
      </c>
      <c r="AH33" s="38">
        <f>VLOOKUP($A33,[7]Sheet1!$B$2:$U$70,18,FALSE)</f>
        <v>10452568</v>
      </c>
      <c r="AI33" s="38">
        <f>VLOOKUP($A33,[7]Sheet1!$B$2:$U$70,19,FALSE)</f>
        <v>1431416</v>
      </c>
      <c r="AJ33" s="38">
        <f>VLOOKUP($A33,[8]Sheet1!$A$3:$H$71,7,FALSE)</f>
        <v>0</v>
      </c>
      <c r="AK33" s="773">
        <f t="shared" si="16"/>
        <v>11883984</v>
      </c>
      <c r="AL33" s="771">
        <v>453519600</v>
      </c>
      <c r="AM33" s="771">
        <f t="shared" si="19"/>
        <v>475359360</v>
      </c>
      <c r="AN33" s="774">
        <f t="shared" si="17"/>
        <v>4.8156154662334326E-2</v>
      </c>
      <c r="AO33" s="789">
        <f t="shared" si="18"/>
        <v>475359360</v>
      </c>
      <c r="AP33" s="761">
        <f t="shared" si="6"/>
        <v>2.1988770769129275E-2</v>
      </c>
      <c r="AQ33" s="761">
        <f t="shared" si="7"/>
        <v>3.0112292308707247E-3</v>
      </c>
      <c r="AR33" s="771">
        <f>VLOOKUP($A33,[7]Sheet1!$B$2:$U$70,20,FALSE)</f>
        <v>319587</v>
      </c>
      <c r="AS33" s="771">
        <f t="shared" si="8"/>
        <v>20794783</v>
      </c>
      <c r="AT33" s="771">
        <f>ROUND(AS33/'3_Levels 1&amp;2'!C33,2)</f>
        <v>3857.31</v>
      </c>
    </row>
    <row r="34" spans="1:46" ht="15" customHeight="1" x14ac:dyDescent="0.2">
      <c r="A34" s="738">
        <v>28</v>
      </c>
      <c r="B34" s="760" t="s">
        <v>158</v>
      </c>
      <c r="C34" s="740">
        <f>VLOOKUP($A34,[6]Breakout!$A$4:$E$72,3,FALSE)</f>
        <v>2750982374</v>
      </c>
      <c r="D34" s="740">
        <f>VLOOKUP($A34,[6]Breakout!$A$4:$E$72,4,FALSE)</f>
        <v>400989722</v>
      </c>
      <c r="E34" s="740">
        <f t="shared" si="9"/>
        <v>2349992652</v>
      </c>
      <c r="F34" s="740">
        <v>2286166528</v>
      </c>
      <c r="G34" s="761">
        <f t="shared" si="10"/>
        <v>2.7918405425976039E-2</v>
      </c>
      <c r="H34" s="762">
        <f t="shared" si="1"/>
        <v>2349992652</v>
      </c>
      <c r="I34" s="763">
        <f>VLOOKUP($A34,[7]Sheet1!$B$2:$U$70,3,FALSE)</f>
        <v>4.59</v>
      </c>
      <c r="J34" s="764">
        <f>VLOOKUP($A34,[7]Sheet1!$B$2:$U$70,4,FALSE)</f>
        <v>10317117</v>
      </c>
      <c r="K34" s="763">
        <f>VLOOKUP($A34,[7]Sheet1!$B$2:$U$70,5,FALSE)</f>
        <v>28.97</v>
      </c>
      <c r="L34" s="764">
        <f>VLOOKUP($A34,[7]Sheet1!$B$2:$U$70,6,FALSE)</f>
        <v>65240693</v>
      </c>
      <c r="M34" s="765">
        <f>VLOOKUP($A34,[7]Sheet1!$B$2:$U$70,7,FALSE)</f>
        <v>0</v>
      </c>
      <c r="N34" s="765">
        <f>VLOOKUP($A34,[7]Sheet1!$B$2:$U$70,8,FALSE)</f>
        <v>0</v>
      </c>
      <c r="O34" s="765">
        <f>VLOOKUP($A34,[7]Sheet1!$B$2:$U$70,9,FALSE)</f>
        <v>0</v>
      </c>
      <c r="P34" s="764">
        <f>VLOOKUP($A34,[7]Sheet1!$B$2:$U$70,10,FALSE)</f>
        <v>0</v>
      </c>
      <c r="Q34" s="740">
        <f t="shared" si="11"/>
        <v>75557810</v>
      </c>
      <c r="R34" s="765">
        <f>VLOOKUP($A34,[7]Sheet1!$B$2:$U$70,11,FALSE)</f>
        <v>0</v>
      </c>
      <c r="S34" s="764">
        <f>VLOOKUP($A34,[7]Sheet1!$B$2:$U$70,12,FALSE)</f>
        <v>0</v>
      </c>
      <c r="T34" s="765">
        <f>VLOOKUP($A34,[7]Sheet1!$B$2:$U$70,13,FALSE)</f>
        <v>0</v>
      </c>
      <c r="U34" s="765">
        <f>VLOOKUP($A34,[7]Sheet1!$B$2:$U$70,14,FALSE)</f>
        <v>0</v>
      </c>
      <c r="V34" s="765">
        <f>VLOOKUP($A34,[7]Sheet1!$B$2:$U$70,15,FALSE)</f>
        <v>0</v>
      </c>
      <c r="W34" s="764">
        <f>VLOOKUP($A34,[7]Sheet1!$B$2:$U$70,16,FALSE)</f>
        <v>0</v>
      </c>
      <c r="X34" s="740">
        <f t="shared" si="12"/>
        <v>0</v>
      </c>
      <c r="Y34" s="767">
        <f t="shared" si="13"/>
        <v>33.56</v>
      </c>
      <c r="Z34" s="740">
        <f t="shared" si="13"/>
        <v>75557810</v>
      </c>
      <c r="AA34" s="740">
        <f t="shared" si="14"/>
        <v>0</v>
      </c>
      <c r="AB34" s="768">
        <f t="shared" si="2"/>
        <v>0</v>
      </c>
      <c r="AC34" s="769">
        <f t="shared" si="3"/>
        <v>32.15</v>
      </c>
      <c r="AD34" s="770">
        <f t="shared" si="4"/>
        <v>32.15</v>
      </c>
      <c r="AE34" s="771">
        <f>VLOOKUP($A34,[8]Sheet1!$A$3:$H$71,4,FALSE)</f>
        <v>0</v>
      </c>
      <c r="AF34" s="771">
        <f t="shared" si="15"/>
        <v>75557810</v>
      </c>
      <c r="AG34" s="772">
        <f>VLOOKUP($A34,[7]Sheet1!$B$2:$U$70,17,FALSE)</f>
        <v>0.02</v>
      </c>
      <c r="AH34" s="38">
        <f>VLOOKUP($A34,[7]Sheet1!$B$2:$U$70,18,FALSE)</f>
        <v>108680771</v>
      </c>
      <c r="AI34" s="38">
        <f>VLOOKUP($A34,[7]Sheet1!$B$2:$U$70,19,FALSE)</f>
        <v>6633121</v>
      </c>
      <c r="AJ34" s="38">
        <f>VLOOKUP($A34,[8]Sheet1!$A$3:$H$71,7,FALSE)</f>
        <v>0</v>
      </c>
      <c r="AK34" s="773">
        <f t="shared" si="16"/>
        <v>115313892</v>
      </c>
      <c r="AL34" s="771">
        <v>5889638250</v>
      </c>
      <c r="AM34" s="771">
        <f t="shared" si="19"/>
        <v>5765694600</v>
      </c>
      <c r="AN34" s="772">
        <f t="shared" si="17"/>
        <v>-2.1044357011230697E-2</v>
      </c>
      <c r="AO34" s="771">
        <f t="shared" si="18"/>
        <v>5765694600</v>
      </c>
      <c r="AP34" s="761">
        <f t="shared" si="6"/>
        <v>1.8849553876821711E-2</v>
      </c>
      <c r="AQ34" s="761">
        <f t="shared" si="7"/>
        <v>1.1504461231782897E-3</v>
      </c>
      <c r="AR34" s="771">
        <f>VLOOKUP($A34,[7]Sheet1!$B$2:$U$70,20,FALSE)</f>
        <v>2423775</v>
      </c>
      <c r="AS34" s="771">
        <f t="shared" si="8"/>
        <v>193295477</v>
      </c>
      <c r="AT34" s="771">
        <f>ROUND(AS34/'3_Levels 1&amp;2'!C34,2)</f>
        <v>5759.53</v>
      </c>
    </row>
    <row r="35" spans="1:46" ht="15" customHeight="1" x14ac:dyDescent="0.2">
      <c r="A35" s="738">
        <v>29</v>
      </c>
      <c r="B35" s="760" t="s">
        <v>159</v>
      </c>
      <c r="C35" s="740">
        <f>VLOOKUP($A35,[6]Breakout!$A$4:$E$72,3,FALSE)</f>
        <v>1143571750</v>
      </c>
      <c r="D35" s="740">
        <f>VLOOKUP($A35,[6]Breakout!$A$4:$E$72,4,FALSE)</f>
        <v>176382721</v>
      </c>
      <c r="E35" s="740">
        <f t="shared" si="9"/>
        <v>967189029</v>
      </c>
      <c r="F35" s="740">
        <v>961662449</v>
      </c>
      <c r="G35" s="761">
        <f t="shared" si="10"/>
        <v>5.746902154437768E-3</v>
      </c>
      <c r="H35" s="762">
        <f t="shared" si="1"/>
        <v>967189029</v>
      </c>
      <c r="I35" s="763">
        <f>VLOOKUP($A35,[7]Sheet1!$B$2:$U$70,3,FALSE)</f>
        <v>3.63</v>
      </c>
      <c r="J35" s="764">
        <f>VLOOKUP($A35,[7]Sheet1!$B$2:$U$70,4,FALSE)</f>
        <v>3415026</v>
      </c>
      <c r="K35" s="763">
        <f>VLOOKUP($A35,[7]Sheet1!$B$2:$U$70,5,FALSE)</f>
        <v>28.47</v>
      </c>
      <c r="L35" s="764">
        <f>VLOOKUP($A35,[7]Sheet1!$B$2:$U$70,6,FALSE)</f>
        <v>26783942</v>
      </c>
      <c r="M35" s="765">
        <f>VLOOKUP($A35,[7]Sheet1!$B$2:$U$70,7,FALSE)</f>
        <v>0</v>
      </c>
      <c r="N35" s="765">
        <f>VLOOKUP($A35,[7]Sheet1!$B$2:$U$70,8,FALSE)</f>
        <v>0</v>
      </c>
      <c r="O35" s="765">
        <f>VLOOKUP($A35,[7]Sheet1!$B$2:$U$70,9,FALSE)</f>
        <v>0</v>
      </c>
      <c r="P35" s="764">
        <f>VLOOKUP($A35,[7]Sheet1!$B$2:$U$70,10,FALSE)</f>
        <v>0</v>
      </c>
      <c r="Q35" s="740">
        <f t="shared" si="11"/>
        <v>30198968</v>
      </c>
      <c r="R35" s="765">
        <f>VLOOKUP($A35,[7]Sheet1!$B$2:$U$70,11,FALSE)</f>
        <v>11.2</v>
      </c>
      <c r="S35" s="764">
        <f>VLOOKUP($A35,[7]Sheet1!$B$2:$U$70,12,FALSE)</f>
        <v>10536740</v>
      </c>
      <c r="T35" s="765">
        <f>VLOOKUP($A35,[7]Sheet1!$B$2:$U$70,13,FALSE)</f>
        <v>0</v>
      </c>
      <c r="U35" s="765">
        <f>VLOOKUP($A35,[7]Sheet1!$B$2:$U$70,14,FALSE)</f>
        <v>0</v>
      </c>
      <c r="V35" s="765">
        <f>VLOOKUP($A35,[7]Sheet1!$B$2:$U$70,15,FALSE)</f>
        <v>0</v>
      </c>
      <c r="W35" s="764">
        <f>VLOOKUP($A35,[7]Sheet1!$B$2:$U$70,16,FALSE)</f>
        <v>0</v>
      </c>
      <c r="X35" s="740">
        <f t="shared" si="12"/>
        <v>10536740</v>
      </c>
      <c r="Y35" s="767">
        <f t="shared" si="13"/>
        <v>43.3</v>
      </c>
      <c r="Z35" s="740">
        <f t="shared" si="13"/>
        <v>40735708</v>
      </c>
      <c r="AA35" s="740">
        <f t="shared" si="14"/>
        <v>0</v>
      </c>
      <c r="AB35" s="768">
        <f t="shared" si="2"/>
        <v>10.89</v>
      </c>
      <c r="AC35" s="769">
        <f t="shared" si="3"/>
        <v>31.22</v>
      </c>
      <c r="AD35" s="770">
        <f t="shared" si="4"/>
        <v>42.12</v>
      </c>
      <c r="AE35" s="771">
        <f>VLOOKUP($A35,[8]Sheet1!$A$3:$H$71,4,FALSE)</f>
        <v>0</v>
      </c>
      <c r="AF35" s="771">
        <f t="shared" si="15"/>
        <v>40735708</v>
      </c>
      <c r="AG35" s="772">
        <f>VLOOKUP($A35,[7]Sheet1!$B$2:$U$70,17,FALSE)</f>
        <v>0.02</v>
      </c>
      <c r="AH35" s="38">
        <f>VLOOKUP($A35,[7]Sheet1!$B$2:$U$70,18,FALSE)</f>
        <v>31584714</v>
      </c>
      <c r="AI35" s="38">
        <f>VLOOKUP($A35,[7]Sheet1!$B$2:$U$70,19,FALSE)</f>
        <v>0</v>
      </c>
      <c r="AJ35" s="38">
        <f>VLOOKUP($A35,[8]Sheet1!$A$3:$H$71,7,FALSE)</f>
        <v>0</v>
      </c>
      <c r="AK35" s="773">
        <f t="shared" si="16"/>
        <v>31584714</v>
      </c>
      <c r="AL35" s="771">
        <v>1504234550</v>
      </c>
      <c r="AM35" s="771">
        <f t="shared" si="19"/>
        <v>1579235700</v>
      </c>
      <c r="AN35" s="772">
        <f t="shared" si="17"/>
        <v>4.9860010195883347E-2</v>
      </c>
      <c r="AO35" s="771">
        <f t="shared" si="18"/>
        <v>1579235700</v>
      </c>
      <c r="AP35" s="761">
        <f t="shared" si="6"/>
        <v>0.02</v>
      </c>
      <c r="AQ35" s="761">
        <f t="shared" si="7"/>
        <v>0</v>
      </c>
      <c r="AR35" s="771">
        <f>VLOOKUP($A35,[7]Sheet1!$B$2:$U$70,20,FALSE)</f>
        <v>465849</v>
      </c>
      <c r="AS35" s="771">
        <f t="shared" si="8"/>
        <v>72786271</v>
      </c>
      <c r="AT35" s="771">
        <f>ROUND(AS35/'3_Levels 1&amp;2'!C35,2)</f>
        <v>5188.2700000000004</v>
      </c>
    </row>
    <row r="36" spans="1:46" ht="15" customHeight="1" x14ac:dyDescent="0.2">
      <c r="A36" s="742">
        <v>30</v>
      </c>
      <c r="B36" s="775" t="s">
        <v>160</v>
      </c>
      <c r="C36" s="744">
        <f>VLOOKUP($A36,[6]Breakout!$A$4:$E$72,3,FALSE)</f>
        <v>108687310</v>
      </c>
      <c r="D36" s="744">
        <f>VLOOKUP($A36,[6]Breakout!$A$4:$E$72,4,FALSE)</f>
        <v>22134220</v>
      </c>
      <c r="E36" s="744">
        <f t="shared" si="9"/>
        <v>86553090</v>
      </c>
      <c r="F36" s="744">
        <v>82032600</v>
      </c>
      <c r="G36" s="776">
        <f t="shared" si="10"/>
        <v>5.5106018826661593E-2</v>
      </c>
      <c r="H36" s="777">
        <f t="shared" si="1"/>
        <v>86553090</v>
      </c>
      <c r="I36" s="778">
        <f>VLOOKUP($A36,[7]Sheet1!$B$2:$U$70,3,FALSE)</f>
        <v>4.54</v>
      </c>
      <c r="J36" s="779">
        <f>VLOOKUP($A36,[7]Sheet1!$B$2:$U$70,4,FALSE)</f>
        <v>387185</v>
      </c>
      <c r="K36" s="778">
        <f>VLOOKUP($A36,[7]Sheet1!$B$2:$U$70,5,FALSE)</f>
        <v>39.75</v>
      </c>
      <c r="L36" s="779">
        <f>VLOOKUP($A36,[7]Sheet1!$B$2:$U$70,6,FALSE)</f>
        <v>3390003</v>
      </c>
      <c r="M36" s="780">
        <f>VLOOKUP($A36,[7]Sheet1!$B$2:$U$70,7,FALSE)</f>
        <v>0</v>
      </c>
      <c r="N36" s="780">
        <f>VLOOKUP($A36,[7]Sheet1!$B$2:$U$70,8,FALSE)</f>
        <v>0</v>
      </c>
      <c r="O36" s="780">
        <f>VLOOKUP($A36,[7]Sheet1!$B$2:$U$70,9,FALSE)</f>
        <v>0</v>
      </c>
      <c r="P36" s="779">
        <f>VLOOKUP($A36,[7]Sheet1!$B$2:$U$70,10,FALSE)</f>
        <v>0</v>
      </c>
      <c r="Q36" s="744">
        <f t="shared" si="11"/>
        <v>3777188</v>
      </c>
      <c r="R36" s="780">
        <f>VLOOKUP($A36,[7]Sheet1!$B$2:$U$70,11,FALSE)</f>
        <v>0</v>
      </c>
      <c r="S36" s="779">
        <f>VLOOKUP($A36,[7]Sheet1!$B$2:$U$70,12,FALSE)</f>
        <v>0</v>
      </c>
      <c r="T36" s="780">
        <f>VLOOKUP($A36,[7]Sheet1!$B$2:$U$70,13,FALSE)</f>
        <v>0</v>
      </c>
      <c r="U36" s="780">
        <f>VLOOKUP($A36,[7]Sheet1!$B$2:$U$70,14,FALSE)</f>
        <v>0</v>
      </c>
      <c r="V36" s="780">
        <f>VLOOKUP($A36,[7]Sheet1!$B$2:$U$70,15,FALSE)</f>
        <v>0</v>
      </c>
      <c r="W36" s="779">
        <f>VLOOKUP($A36,[7]Sheet1!$B$2:$U$70,16,FALSE)</f>
        <v>0</v>
      </c>
      <c r="X36" s="744">
        <f t="shared" si="12"/>
        <v>0</v>
      </c>
      <c r="Y36" s="781">
        <f t="shared" si="13"/>
        <v>44.29</v>
      </c>
      <c r="Z36" s="744">
        <f t="shared" si="13"/>
        <v>3777188</v>
      </c>
      <c r="AA36" s="744">
        <f t="shared" si="14"/>
        <v>0</v>
      </c>
      <c r="AB36" s="782">
        <f t="shared" si="2"/>
        <v>0</v>
      </c>
      <c r="AC36" s="783">
        <f t="shared" si="3"/>
        <v>43.64</v>
      </c>
      <c r="AD36" s="784">
        <f t="shared" si="4"/>
        <v>43.64</v>
      </c>
      <c r="AE36" s="785">
        <f>VLOOKUP($A36,[8]Sheet1!$A$3:$H$71,4,FALSE)</f>
        <v>0</v>
      </c>
      <c r="AF36" s="785">
        <f t="shared" si="15"/>
        <v>3777188</v>
      </c>
      <c r="AG36" s="786">
        <f>VLOOKUP($A36,[7]Sheet1!$B$2:$U$70,17,FALSE)</f>
        <v>0.03</v>
      </c>
      <c r="AH36" s="787">
        <f>VLOOKUP($A36,[7]Sheet1!$B$2:$U$70,18,FALSE)</f>
        <v>6573748</v>
      </c>
      <c r="AI36" s="787">
        <f>VLOOKUP($A36,[7]Sheet1!$B$2:$U$70,19,FALSE)</f>
        <v>1260591</v>
      </c>
      <c r="AJ36" s="787">
        <f>VLOOKUP($A36,[8]Sheet1!$A$3:$H$71,7,FALSE)</f>
        <v>0</v>
      </c>
      <c r="AK36" s="788">
        <f t="shared" si="16"/>
        <v>7834339</v>
      </c>
      <c r="AL36" s="785">
        <v>301115800</v>
      </c>
      <c r="AM36" s="785">
        <f t="shared" si="19"/>
        <v>261144633</v>
      </c>
      <c r="AN36" s="786">
        <f t="shared" si="17"/>
        <v>-0.13274350598673335</v>
      </c>
      <c r="AO36" s="785">
        <f t="shared" si="18"/>
        <v>261144633</v>
      </c>
      <c r="AP36" s="776">
        <f t="shared" si="6"/>
        <v>2.5172824440163777E-2</v>
      </c>
      <c r="AQ36" s="776">
        <f t="shared" si="7"/>
        <v>4.8271755981291794E-3</v>
      </c>
      <c r="AR36" s="785">
        <f>VLOOKUP($A36,[7]Sheet1!$B$2:$U$70,20,FALSE)</f>
        <v>74770</v>
      </c>
      <c r="AS36" s="785">
        <f t="shared" si="8"/>
        <v>11686297</v>
      </c>
      <c r="AT36" s="785">
        <f>ROUND(AS36/'3_Levels 1&amp;2'!C36,2)</f>
        <v>4793.3900000000003</v>
      </c>
    </row>
    <row r="37" spans="1:46" ht="15" customHeight="1" x14ac:dyDescent="0.2">
      <c r="A37" s="738">
        <v>31</v>
      </c>
      <c r="B37" s="760" t="s">
        <v>161</v>
      </c>
      <c r="C37" s="740">
        <f>VLOOKUP($A37,[6]Breakout!$A$4:$E$72,3,FALSE)</f>
        <v>534198496</v>
      </c>
      <c r="D37" s="740">
        <f>VLOOKUP($A37,[6]Breakout!$A$4:$E$72,4,FALSE)</f>
        <v>58197715</v>
      </c>
      <c r="E37" s="740">
        <f t="shared" si="9"/>
        <v>476000781</v>
      </c>
      <c r="F37" s="740">
        <v>471179353</v>
      </c>
      <c r="G37" s="761">
        <f t="shared" si="10"/>
        <v>1.0232680972334542E-2</v>
      </c>
      <c r="H37" s="762">
        <f t="shared" si="1"/>
        <v>476000781</v>
      </c>
      <c r="I37" s="763">
        <f>VLOOKUP($A37,[7]Sheet1!$B$2:$U$70,3,FALSE)</f>
        <v>3.91</v>
      </c>
      <c r="J37" s="764">
        <f>VLOOKUP($A37,[7]Sheet1!$B$2:$U$70,4,FALSE)</f>
        <v>1847547</v>
      </c>
      <c r="K37" s="763">
        <f>VLOOKUP($A37,[7]Sheet1!$B$2:$U$70,5,FALSE)</f>
        <v>27.19</v>
      </c>
      <c r="L37" s="764">
        <f>VLOOKUP($A37,[7]Sheet1!$B$2:$U$70,6,FALSE)</f>
        <v>12802942</v>
      </c>
      <c r="M37" s="765">
        <f>VLOOKUP($A37,[7]Sheet1!$B$2:$U$70,7,FALSE)</f>
        <v>0</v>
      </c>
      <c r="N37" s="765">
        <f>VLOOKUP($A37,[7]Sheet1!$B$2:$U$70,8,FALSE)</f>
        <v>2.99</v>
      </c>
      <c r="O37" s="765">
        <f>VLOOKUP($A37,[7]Sheet1!$B$2:$U$70,9,FALSE)</f>
        <v>4</v>
      </c>
      <c r="P37" s="764">
        <f>VLOOKUP($A37,[7]Sheet1!$B$2:$U$70,10,FALSE)</f>
        <v>1170867</v>
      </c>
      <c r="Q37" s="740">
        <f t="shared" si="11"/>
        <v>15821356</v>
      </c>
      <c r="R37" s="766">
        <f>VLOOKUP($A37,[7]Sheet1!$B$2:$U$70,11,FALSE)</f>
        <v>0</v>
      </c>
      <c r="S37" s="764">
        <f>VLOOKUP($A37,[7]Sheet1!$B$2:$U$70,12,FALSE)</f>
        <v>0</v>
      </c>
      <c r="T37" s="765">
        <f>VLOOKUP($A37,[7]Sheet1!$B$2:$U$70,13,FALSE)</f>
        <v>0</v>
      </c>
      <c r="U37" s="765">
        <f>VLOOKUP($A37,[7]Sheet1!$B$2:$U$70,14,FALSE)</f>
        <v>16</v>
      </c>
      <c r="V37" s="765">
        <f>VLOOKUP($A37,[7]Sheet1!$B$2:$U$70,15,FALSE)</f>
        <v>4</v>
      </c>
      <c r="W37" s="764">
        <f>VLOOKUP($A37,[7]Sheet1!$B$2:$U$70,16,FALSE)</f>
        <v>4719609</v>
      </c>
      <c r="X37" s="740">
        <f t="shared" si="12"/>
        <v>4719609</v>
      </c>
      <c r="Y37" s="767">
        <f t="shared" si="13"/>
        <v>31.1</v>
      </c>
      <c r="Z37" s="740">
        <f t="shared" si="13"/>
        <v>14650489</v>
      </c>
      <c r="AA37" s="740">
        <f t="shared" si="14"/>
        <v>5890476</v>
      </c>
      <c r="AB37" s="768">
        <f t="shared" si="2"/>
        <v>9.92</v>
      </c>
      <c r="AC37" s="769">
        <f t="shared" si="3"/>
        <v>33.24</v>
      </c>
      <c r="AD37" s="770">
        <f t="shared" si="4"/>
        <v>43.15</v>
      </c>
      <c r="AE37" s="771">
        <f>VLOOKUP($A37,[8]Sheet1!$A$3:$H$71,4,FALSE)</f>
        <v>0</v>
      </c>
      <c r="AF37" s="771">
        <f t="shared" si="15"/>
        <v>20540965</v>
      </c>
      <c r="AG37" s="772">
        <f>VLOOKUP($A37,[7]Sheet1!$B$2:$U$70,17,FALSE)</f>
        <v>0.02</v>
      </c>
      <c r="AH37" s="38">
        <f>VLOOKUP($A37,[7]Sheet1!$B$2:$U$70,18,FALSE)</f>
        <v>17711354</v>
      </c>
      <c r="AI37" s="38">
        <f>VLOOKUP($A37,[7]Sheet1!$B$2:$U$70,19,FALSE)</f>
        <v>0</v>
      </c>
      <c r="AJ37" s="38">
        <f>VLOOKUP($A37,[8]Sheet1!$A$3:$H$71,7,FALSE)</f>
        <v>0</v>
      </c>
      <c r="AK37" s="773">
        <f t="shared" si="16"/>
        <v>17711354</v>
      </c>
      <c r="AL37" s="771">
        <v>889633300</v>
      </c>
      <c r="AM37" s="771">
        <f t="shared" si="19"/>
        <v>885567700</v>
      </c>
      <c r="AN37" s="774">
        <f t="shared" si="17"/>
        <v>-4.5699728191379531E-3</v>
      </c>
      <c r="AO37" s="789">
        <f t="shared" si="18"/>
        <v>885567700</v>
      </c>
      <c r="AP37" s="761">
        <f t="shared" si="6"/>
        <v>0.02</v>
      </c>
      <c r="AQ37" s="761">
        <f t="shared" si="7"/>
        <v>0</v>
      </c>
      <c r="AR37" s="771">
        <f>VLOOKUP($A37,[7]Sheet1!$B$2:$U$70,20,FALSE)</f>
        <v>342036</v>
      </c>
      <c r="AS37" s="771">
        <f t="shared" si="8"/>
        <v>38594355</v>
      </c>
      <c r="AT37" s="771">
        <f>ROUND(AS37/'3_Levels 1&amp;2'!C37,2)</f>
        <v>6337.33</v>
      </c>
    </row>
    <row r="38" spans="1:46" ht="15" customHeight="1" x14ac:dyDescent="0.2">
      <c r="A38" s="738">
        <v>32</v>
      </c>
      <c r="B38" s="760" t="s">
        <v>162</v>
      </c>
      <c r="C38" s="740">
        <f>VLOOKUP($A38,[6]Breakout!$A$4:$E$72,3,FALSE)</f>
        <v>814702862</v>
      </c>
      <c r="D38" s="740">
        <f>VLOOKUP($A38,[6]Breakout!$A$4:$E$72,4,FALSE)</f>
        <v>243436347</v>
      </c>
      <c r="E38" s="740">
        <f t="shared" si="9"/>
        <v>571266515</v>
      </c>
      <c r="F38" s="740">
        <v>539919105</v>
      </c>
      <c r="G38" s="761">
        <f t="shared" si="10"/>
        <v>5.8059456888453688E-2</v>
      </c>
      <c r="H38" s="762">
        <f t="shared" si="1"/>
        <v>571266515</v>
      </c>
      <c r="I38" s="763">
        <f>VLOOKUP($A38,[7]Sheet1!$B$2:$U$70,3,FALSE)</f>
        <v>3.29</v>
      </c>
      <c r="J38" s="764">
        <f>VLOOKUP($A38,[7]Sheet1!$B$2:$U$70,4,FALSE)</f>
        <v>1844224</v>
      </c>
      <c r="K38" s="763">
        <f>VLOOKUP($A38,[7]Sheet1!$B$2:$U$70,5,FALSE)</f>
        <v>19.18</v>
      </c>
      <c r="L38" s="764">
        <f>VLOOKUP($A38,[7]Sheet1!$B$2:$U$70,6,FALSE)</f>
        <v>10751415</v>
      </c>
      <c r="M38" s="765">
        <f>VLOOKUP($A38,[7]Sheet1!$B$2:$U$70,7,FALSE)</f>
        <v>0</v>
      </c>
      <c r="N38" s="765">
        <f>VLOOKUP($A38,[7]Sheet1!$B$2:$U$70,8,FALSE)</f>
        <v>0</v>
      </c>
      <c r="O38" s="765">
        <f>VLOOKUP($A38,[7]Sheet1!$B$2:$U$70,9,FALSE)</f>
        <v>0</v>
      </c>
      <c r="P38" s="764">
        <f>VLOOKUP($A38,[7]Sheet1!$B$2:$U$70,10,FALSE)</f>
        <v>0</v>
      </c>
      <c r="Q38" s="740">
        <f t="shared" si="11"/>
        <v>12595639</v>
      </c>
      <c r="R38" s="765">
        <f>VLOOKUP($A38,[7]Sheet1!$B$2:$U$70,11,FALSE)</f>
        <v>0</v>
      </c>
      <c r="S38" s="764">
        <f>VLOOKUP($A38,[7]Sheet1!$B$2:$U$70,12,FALSE)</f>
        <v>0</v>
      </c>
      <c r="T38" s="765">
        <f>VLOOKUP($A38,[7]Sheet1!$B$2:$U$70,13,FALSE)</f>
        <v>0</v>
      </c>
      <c r="U38" s="765">
        <f>VLOOKUP($A38,[7]Sheet1!$B$2:$U$70,14,FALSE)</f>
        <v>13.67</v>
      </c>
      <c r="V38" s="765">
        <f>VLOOKUP($A38,[7]Sheet1!$B$2:$U$70,15,FALSE)</f>
        <v>10</v>
      </c>
      <c r="W38" s="764">
        <f>VLOOKUP($A38,[7]Sheet1!$B$2:$U$70,16,FALSE)</f>
        <v>6010158</v>
      </c>
      <c r="X38" s="740">
        <f t="shared" si="12"/>
        <v>6010158</v>
      </c>
      <c r="Y38" s="767">
        <f t="shared" si="13"/>
        <v>22.47</v>
      </c>
      <c r="Z38" s="740">
        <f t="shared" si="13"/>
        <v>12595639</v>
      </c>
      <c r="AA38" s="740">
        <f t="shared" si="14"/>
        <v>6010158</v>
      </c>
      <c r="AB38" s="768">
        <f t="shared" si="2"/>
        <v>10.52</v>
      </c>
      <c r="AC38" s="769">
        <f t="shared" si="3"/>
        <v>22.05</v>
      </c>
      <c r="AD38" s="770">
        <f t="shared" si="4"/>
        <v>32.57</v>
      </c>
      <c r="AE38" s="771">
        <f>VLOOKUP($A38,[8]Sheet1!$A$3:$H$71,4,FALSE)</f>
        <v>0</v>
      </c>
      <c r="AF38" s="771">
        <f t="shared" si="15"/>
        <v>18605797</v>
      </c>
      <c r="AG38" s="772">
        <f>VLOOKUP($A38,[7]Sheet1!$B$2:$U$70,17,FALSE)</f>
        <v>2.5000000000000001E-2</v>
      </c>
      <c r="AH38" s="38">
        <f>VLOOKUP($A38,[7]Sheet1!$B$2:$U$70,18,FALSE)</f>
        <v>52972278</v>
      </c>
      <c r="AI38" s="38">
        <f>VLOOKUP($A38,[7]Sheet1!$B$2:$U$70,19,FALSE)</f>
        <v>2410433</v>
      </c>
      <c r="AJ38" s="38">
        <f>VLOOKUP($A38,[8]Sheet1!$A$3:$H$71,7,FALSE)</f>
        <v>0</v>
      </c>
      <c r="AK38" s="773">
        <f t="shared" si="16"/>
        <v>55382711</v>
      </c>
      <c r="AL38" s="771">
        <v>2011513640</v>
      </c>
      <c r="AM38" s="771">
        <f t="shared" si="19"/>
        <v>2215308440</v>
      </c>
      <c r="AN38" s="774">
        <f t="shared" si="17"/>
        <v>0.10131415265968567</v>
      </c>
      <c r="AO38" s="789">
        <f t="shared" si="18"/>
        <v>2215308440</v>
      </c>
      <c r="AP38" s="761">
        <f t="shared" si="6"/>
        <v>2.3911919913057345E-2</v>
      </c>
      <c r="AQ38" s="761">
        <f t="shared" si="7"/>
        <v>1.0880800869426561E-3</v>
      </c>
      <c r="AR38" s="771">
        <f>VLOOKUP($A38,[7]Sheet1!$B$2:$U$70,20,FALSE)</f>
        <v>985963</v>
      </c>
      <c r="AS38" s="771">
        <f t="shared" si="8"/>
        <v>74974471</v>
      </c>
      <c r="AT38" s="771">
        <f>ROUND(AS38/'3_Levels 1&amp;2'!C38,2)</f>
        <v>2908.81</v>
      </c>
    </row>
    <row r="39" spans="1:46" ht="15" customHeight="1" x14ac:dyDescent="0.2">
      <c r="A39" s="738">
        <v>33</v>
      </c>
      <c r="B39" s="760" t="s">
        <v>163</v>
      </c>
      <c r="C39" s="740">
        <f>VLOOKUP($A39,[6]Breakout!$A$4:$E$72,3,FALSE)</f>
        <v>117701195</v>
      </c>
      <c r="D39" s="740">
        <f>VLOOKUP($A39,[6]Breakout!$A$4:$E$72,4,FALSE)</f>
        <v>10385943</v>
      </c>
      <c r="E39" s="740">
        <f t="shared" si="9"/>
        <v>107315252</v>
      </c>
      <c r="F39" s="740">
        <v>104841671</v>
      </c>
      <c r="G39" s="761">
        <f t="shared" si="10"/>
        <v>2.3593490798138841E-2</v>
      </c>
      <c r="H39" s="762">
        <f t="shared" si="1"/>
        <v>107315252</v>
      </c>
      <c r="I39" s="763">
        <f>VLOOKUP($A39,[7]Sheet1!$B$2:$U$70,3,FALSE)</f>
        <v>4.58</v>
      </c>
      <c r="J39" s="764">
        <f>VLOOKUP($A39,[7]Sheet1!$B$2:$U$70,4,FALSE)</f>
        <v>490349</v>
      </c>
      <c r="K39" s="763">
        <f>VLOOKUP($A39,[7]Sheet1!$B$2:$U$70,5,FALSE)</f>
        <v>5.25</v>
      </c>
      <c r="L39" s="764">
        <f>VLOOKUP($A39,[7]Sheet1!$B$2:$U$70,6,FALSE)</f>
        <v>559179</v>
      </c>
      <c r="M39" s="765">
        <f>VLOOKUP($A39,[7]Sheet1!$B$2:$U$70,7,FALSE)</f>
        <v>0</v>
      </c>
      <c r="N39" s="765">
        <f>VLOOKUP($A39,[7]Sheet1!$B$2:$U$70,8,FALSE)</f>
        <v>0</v>
      </c>
      <c r="O39" s="765">
        <f>VLOOKUP($A39,[7]Sheet1!$B$2:$U$70,9,FALSE)</f>
        <v>0</v>
      </c>
      <c r="P39" s="764">
        <f>VLOOKUP($A39,[7]Sheet1!$B$2:$U$70,10,FALSE)</f>
        <v>0</v>
      </c>
      <c r="Q39" s="740">
        <f t="shared" si="11"/>
        <v>1049528</v>
      </c>
      <c r="R39" s="765">
        <f>VLOOKUP($A39,[7]Sheet1!$B$2:$U$70,11,FALSE)</f>
        <v>12</v>
      </c>
      <c r="S39" s="764">
        <f>VLOOKUP($A39,[7]Sheet1!$B$2:$U$70,12,FALSE)</f>
        <v>1320133</v>
      </c>
      <c r="T39" s="765">
        <f>VLOOKUP($A39,[7]Sheet1!$B$2:$U$70,13,FALSE)</f>
        <v>0</v>
      </c>
      <c r="U39" s="765">
        <f>VLOOKUP($A39,[7]Sheet1!$B$2:$U$70,14,FALSE)</f>
        <v>0</v>
      </c>
      <c r="V39" s="765">
        <f>VLOOKUP($A39,[7]Sheet1!$B$2:$U$70,15,FALSE)</f>
        <v>0</v>
      </c>
      <c r="W39" s="764">
        <f>VLOOKUP($A39,[7]Sheet1!$B$2:$U$70,16,FALSE)</f>
        <v>0</v>
      </c>
      <c r="X39" s="740">
        <f t="shared" si="12"/>
        <v>1320133</v>
      </c>
      <c r="Y39" s="767">
        <f t="shared" si="13"/>
        <v>21.83</v>
      </c>
      <c r="Z39" s="740">
        <f t="shared" si="13"/>
        <v>2369661</v>
      </c>
      <c r="AA39" s="740">
        <f t="shared" si="14"/>
        <v>0</v>
      </c>
      <c r="AB39" s="768">
        <f t="shared" si="2"/>
        <v>12.3</v>
      </c>
      <c r="AC39" s="769">
        <f t="shared" si="3"/>
        <v>9.7799999999999994</v>
      </c>
      <c r="AD39" s="770">
        <f t="shared" si="4"/>
        <v>22.08</v>
      </c>
      <c r="AE39" s="771">
        <f>VLOOKUP($A39,[8]Sheet1!$A$3:$H$71,4,FALSE)</f>
        <v>0</v>
      </c>
      <c r="AF39" s="771">
        <f t="shared" si="15"/>
        <v>2369661</v>
      </c>
      <c r="AG39" s="772">
        <f>VLOOKUP($A39,[7]Sheet1!$B$2:$U$70,17,FALSE)</f>
        <v>2.5000000000000001E-2</v>
      </c>
      <c r="AH39" s="38">
        <f>VLOOKUP($A39,[7]Sheet1!$B$2:$U$70,18,FALSE)</f>
        <v>2249036</v>
      </c>
      <c r="AI39" s="38">
        <f>VLOOKUP($A39,[7]Sheet1!$B$2:$U$70,19,FALSE)</f>
        <v>1491001</v>
      </c>
      <c r="AJ39" s="38">
        <f>VLOOKUP($A39,[8]Sheet1!$A$3:$H$71,7,FALSE)</f>
        <v>0</v>
      </c>
      <c r="AK39" s="773">
        <f t="shared" si="16"/>
        <v>3740037</v>
      </c>
      <c r="AL39" s="771">
        <v>131294440</v>
      </c>
      <c r="AM39" s="771">
        <f t="shared" si="19"/>
        <v>149601480</v>
      </c>
      <c r="AN39" s="772">
        <f t="shared" si="17"/>
        <v>0.13943499816138444</v>
      </c>
      <c r="AO39" s="771">
        <f t="shared" si="18"/>
        <v>149601480</v>
      </c>
      <c r="AP39" s="761">
        <f t="shared" si="6"/>
        <v>1.5033514374323034E-2</v>
      </c>
      <c r="AQ39" s="761">
        <f t="shared" si="7"/>
        <v>9.9664856256769657E-3</v>
      </c>
      <c r="AR39" s="771">
        <f>VLOOKUP($A39,[7]Sheet1!$B$2:$U$70,20,FALSE)</f>
        <v>92064</v>
      </c>
      <c r="AS39" s="771">
        <f t="shared" si="8"/>
        <v>6201762</v>
      </c>
      <c r="AT39" s="771">
        <f>ROUND(AS39/'3_Levels 1&amp;2'!C39,2)</f>
        <v>4624.7299999999996</v>
      </c>
    </row>
    <row r="40" spans="1:46" ht="15" customHeight="1" x14ac:dyDescent="0.2">
      <c r="A40" s="738">
        <v>34</v>
      </c>
      <c r="B40" s="760" t="s">
        <v>164</v>
      </c>
      <c r="C40" s="740">
        <f>VLOOKUP($A40,[6]Breakout!$A$4:$E$72,3,FALSE)</f>
        <v>185207659</v>
      </c>
      <c r="D40" s="740">
        <f>VLOOKUP($A40,[6]Breakout!$A$4:$E$72,4,FALSE)</f>
        <v>35714326</v>
      </c>
      <c r="E40" s="740">
        <f t="shared" si="9"/>
        <v>149493333</v>
      </c>
      <c r="F40" s="740">
        <v>146054449</v>
      </c>
      <c r="G40" s="761">
        <f t="shared" si="10"/>
        <v>2.3545219084699021E-2</v>
      </c>
      <c r="H40" s="762">
        <f t="shared" si="1"/>
        <v>149493333</v>
      </c>
      <c r="I40" s="763">
        <f>VLOOKUP($A40,[7]Sheet1!$B$2:$U$70,3,FALSE)</f>
        <v>5.96</v>
      </c>
      <c r="J40" s="764">
        <f>VLOOKUP($A40,[7]Sheet1!$B$2:$U$70,4,FALSE)</f>
        <v>875572</v>
      </c>
      <c r="K40" s="763">
        <f>VLOOKUP($A40,[7]Sheet1!$B$2:$U$70,5,FALSE)</f>
        <v>22.46</v>
      </c>
      <c r="L40" s="764">
        <f>VLOOKUP($A40,[7]Sheet1!$B$2:$U$70,6,FALSE)</f>
        <v>3299794</v>
      </c>
      <c r="M40" s="765">
        <f>VLOOKUP($A40,[7]Sheet1!$B$2:$U$70,7,FALSE)</f>
        <v>0</v>
      </c>
      <c r="N40" s="765">
        <f>VLOOKUP($A40,[7]Sheet1!$B$2:$U$70,8,FALSE)</f>
        <v>10</v>
      </c>
      <c r="O40" s="765">
        <f>VLOOKUP($A40,[7]Sheet1!$B$2:$U$70,9,FALSE)</f>
        <v>0</v>
      </c>
      <c r="P40" s="764">
        <f>VLOOKUP($A40,[7]Sheet1!$B$2:$U$70,10,FALSE)</f>
        <v>616817</v>
      </c>
      <c r="Q40" s="740">
        <f t="shared" si="11"/>
        <v>4792183</v>
      </c>
      <c r="R40" s="765">
        <f>VLOOKUP($A40,[7]Sheet1!$B$2:$U$70,11,FALSE)</f>
        <v>6</v>
      </c>
      <c r="S40" s="764">
        <f>VLOOKUP($A40,[7]Sheet1!$B$2:$U$70,12,FALSE)</f>
        <v>881706</v>
      </c>
      <c r="T40" s="765">
        <f>VLOOKUP($A40,[7]Sheet1!$B$2:$U$70,13,FALSE)</f>
        <v>0</v>
      </c>
      <c r="U40" s="765">
        <f>VLOOKUP($A40,[7]Sheet1!$B$2:$U$70,14,FALSE)</f>
        <v>0</v>
      </c>
      <c r="V40" s="765">
        <f>VLOOKUP($A40,[7]Sheet1!$B$2:$U$70,15,FALSE)</f>
        <v>0</v>
      </c>
      <c r="W40" s="764">
        <f>VLOOKUP($A40,[7]Sheet1!$B$2:$U$70,16,FALSE)</f>
        <v>0</v>
      </c>
      <c r="X40" s="740">
        <f t="shared" si="12"/>
        <v>881706</v>
      </c>
      <c r="Y40" s="767">
        <f t="shared" si="13"/>
        <v>34.42</v>
      </c>
      <c r="Z40" s="740">
        <f t="shared" si="13"/>
        <v>5057072</v>
      </c>
      <c r="AA40" s="740">
        <f t="shared" si="14"/>
        <v>616817</v>
      </c>
      <c r="AB40" s="768">
        <f t="shared" si="2"/>
        <v>5.9</v>
      </c>
      <c r="AC40" s="769">
        <f t="shared" si="3"/>
        <v>32.06</v>
      </c>
      <c r="AD40" s="770">
        <f t="shared" si="4"/>
        <v>37.950000000000003</v>
      </c>
      <c r="AE40" s="771">
        <f>VLOOKUP($A40,[8]Sheet1!$A$3:$H$71,4,FALSE)</f>
        <v>0</v>
      </c>
      <c r="AF40" s="771">
        <f t="shared" si="15"/>
        <v>5673889</v>
      </c>
      <c r="AG40" s="772">
        <f>VLOOKUP($A40,[7]Sheet1!$B$2:$U$70,17,FALSE)</f>
        <v>0.02</v>
      </c>
      <c r="AH40" s="38">
        <f>VLOOKUP($A40,[7]Sheet1!$B$2:$U$70,18,FALSE)</f>
        <v>6911687</v>
      </c>
      <c r="AI40" s="38">
        <f>VLOOKUP($A40,[7]Sheet1!$B$2:$U$70,19,FALSE)</f>
        <v>0</v>
      </c>
      <c r="AJ40" s="38">
        <f>VLOOKUP($A40,[8]Sheet1!$A$3:$H$71,7,FALSE)</f>
        <v>0</v>
      </c>
      <c r="AK40" s="773">
        <f t="shared" si="16"/>
        <v>6911687</v>
      </c>
      <c r="AL40" s="771">
        <v>299486700</v>
      </c>
      <c r="AM40" s="771">
        <f t="shared" si="19"/>
        <v>345584350</v>
      </c>
      <c r="AN40" s="772">
        <f t="shared" si="17"/>
        <v>0.15392219420762257</v>
      </c>
      <c r="AO40" s="771">
        <f t="shared" si="18"/>
        <v>344409705</v>
      </c>
      <c r="AP40" s="761">
        <f t="shared" si="6"/>
        <v>0.02</v>
      </c>
      <c r="AQ40" s="761">
        <f t="shared" si="7"/>
        <v>0</v>
      </c>
      <c r="AR40" s="771">
        <f>VLOOKUP($A40,[7]Sheet1!$B$2:$U$70,20,FALSE)</f>
        <v>197757</v>
      </c>
      <c r="AS40" s="771">
        <f t="shared" si="8"/>
        <v>12783333</v>
      </c>
      <c r="AT40" s="771">
        <f>ROUND(AS40/'3_Levels 1&amp;2'!C40,2)</f>
        <v>3825.05</v>
      </c>
    </row>
    <row r="41" spans="1:46" ht="15" customHeight="1" x14ac:dyDescent="0.2">
      <c r="A41" s="742">
        <v>35</v>
      </c>
      <c r="B41" s="775" t="s">
        <v>165</v>
      </c>
      <c r="C41" s="744">
        <f>VLOOKUP($A41,[6]Breakout!$A$4:$E$72,3,FALSE)</f>
        <v>412997794</v>
      </c>
      <c r="D41" s="744">
        <f>VLOOKUP($A41,[6]Breakout!$A$4:$E$72,4,FALSE)</f>
        <v>53922271</v>
      </c>
      <c r="E41" s="744">
        <f t="shared" si="9"/>
        <v>359075523</v>
      </c>
      <c r="F41" s="744">
        <v>351040926</v>
      </c>
      <c r="G41" s="776">
        <f t="shared" si="10"/>
        <v>2.2887921051119836E-2</v>
      </c>
      <c r="H41" s="777">
        <f t="shared" si="1"/>
        <v>359075523</v>
      </c>
      <c r="I41" s="778">
        <f>VLOOKUP($A41,[7]Sheet1!$B$2:$U$70,3,FALSE)</f>
        <v>4.6500000000000004</v>
      </c>
      <c r="J41" s="779">
        <f>VLOOKUP($A41,[7]Sheet1!$B$2:$U$70,4,FALSE)</f>
        <v>1597111</v>
      </c>
      <c r="K41" s="778">
        <f>VLOOKUP($A41,[7]Sheet1!$B$2:$U$70,5,FALSE)</f>
        <v>7</v>
      </c>
      <c r="L41" s="779">
        <f>VLOOKUP($A41,[7]Sheet1!$B$2:$U$70,6,FALSE)</f>
        <v>2404252</v>
      </c>
      <c r="M41" s="780">
        <f>VLOOKUP($A41,[7]Sheet1!$B$2:$U$70,7,FALSE)</f>
        <v>0</v>
      </c>
      <c r="N41" s="780">
        <f>VLOOKUP($A41,[7]Sheet1!$B$2:$U$70,8,FALSE)</f>
        <v>20</v>
      </c>
      <c r="O41" s="780">
        <f>VLOOKUP($A41,[7]Sheet1!$B$2:$U$70,9,FALSE)</f>
        <v>5</v>
      </c>
      <c r="P41" s="779">
        <f>VLOOKUP($A41,[7]Sheet1!$B$2:$U$70,10,FALSE)</f>
        <v>2977177</v>
      </c>
      <c r="Q41" s="744">
        <f t="shared" si="11"/>
        <v>6978540</v>
      </c>
      <c r="R41" s="780">
        <f>VLOOKUP($A41,[7]Sheet1!$B$2:$U$70,11,FALSE)</f>
        <v>0</v>
      </c>
      <c r="S41" s="779">
        <f>VLOOKUP($A41,[7]Sheet1!$B$2:$U$70,12,FALSE)</f>
        <v>0</v>
      </c>
      <c r="T41" s="780">
        <f>VLOOKUP($A41,[7]Sheet1!$B$2:$U$70,13,FALSE)</f>
        <v>0</v>
      </c>
      <c r="U41" s="780">
        <f>VLOOKUP($A41,[7]Sheet1!$B$2:$U$70,14,FALSE)</f>
        <v>33</v>
      </c>
      <c r="V41" s="780">
        <f>VLOOKUP($A41,[7]Sheet1!$B$2:$U$70,15,FALSE)</f>
        <v>3</v>
      </c>
      <c r="W41" s="779">
        <f>VLOOKUP($A41,[7]Sheet1!$B$2:$U$70,16,FALSE)</f>
        <v>3082509</v>
      </c>
      <c r="X41" s="744">
        <f t="shared" si="12"/>
        <v>3082509</v>
      </c>
      <c r="Y41" s="781">
        <f t="shared" si="13"/>
        <v>11.65</v>
      </c>
      <c r="Z41" s="744">
        <f t="shared" si="13"/>
        <v>4001363</v>
      </c>
      <c r="AA41" s="744">
        <f t="shared" si="14"/>
        <v>6059686</v>
      </c>
      <c r="AB41" s="782">
        <f t="shared" si="2"/>
        <v>8.58</v>
      </c>
      <c r="AC41" s="783">
        <f t="shared" si="3"/>
        <v>19.43</v>
      </c>
      <c r="AD41" s="784">
        <f t="shared" si="4"/>
        <v>28.02</v>
      </c>
      <c r="AE41" s="785">
        <f>VLOOKUP($A41,[8]Sheet1!$A$3:$H$71,4,FALSE)</f>
        <v>0</v>
      </c>
      <c r="AF41" s="785">
        <f t="shared" si="15"/>
        <v>10061049</v>
      </c>
      <c r="AG41" s="786">
        <f>VLOOKUP($A41,[7]Sheet1!$B$2:$U$70,17,FALSE)</f>
        <v>2.5000000000000001E-2</v>
      </c>
      <c r="AH41" s="787">
        <f>VLOOKUP($A41,[7]Sheet1!$B$2:$U$70,18,FALSE)</f>
        <v>16724606</v>
      </c>
      <c r="AI41" s="787">
        <f>VLOOKUP($A41,[7]Sheet1!$B$2:$U$70,19,FALSE)</f>
        <v>0</v>
      </c>
      <c r="AJ41" s="787">
        <f>VLOOKUP($A41,[8]Sheet1!$A$3:$H$71,7,FALSE)</f>
        <v>0</v>
      </c>
      <c r="AK41" s="788">
        <f t="shared" si="16"/>
        <v>16724606</v>
      </c>
      <c r="AL41" s="785">
        <v>630328800</v>
      </c>
      <c r="AM41" s="785">
        <f t="shared" si="19"/>
        <v>668984240</v>
      </c>
      <c r="AN41" s="786">
        <f t="shared" si="17"/>
        <v>6.1325835024514191E-2</v>
      </c>
      <c r="AO41" s="785">
        <f t="shared" si="18"/>
        <v>668984240</v>
      </c>
      <c r="AP41" s="776">
        <f t="shared" si="6"/>
        <v>2.5000000000000001E-2</v>
      </c>
      <c r="AQ41" s="776">
        <f t="shared" si="7"/>
        <v>0</v>
      </c>
      <c r="AR41" s="785">
        <f>VLOOKUP($A41,[7]Sheet1!$B$2:$U$70,20,FALSE)</f>
        <v>384232</v>
      </c>
      <c r="AS41" s="785">
        <f t="shared" si="8"/>
        <v>27169887</v>
      </c>
      <c r="AT41" s="785">
        <f>ROUND(AS41/'3_Levels 1&amp;2'!C41,2)</f>
        <v>5022.16</v>
      </c>
    </row>
    <row r="42" spans="1:46" ht="15" customHeight="1" x14ac:dyDescent="0.2">
      <c r="A42" s="738">
        <v>36</v>
      </c>
      <c r="B42" s="760" t="s">
        <v>166</v>
      </c>
      <c r="C42" s="740">
        <f>VLOOKUP($A42,[6]Breakout!$A$4:$E$72,3,FALSE)</f>
        <v>4893203850</v>
      </c>
      <c r="D42" s="740">
        <f>VLOOKUP($A42,[6]Breakout!$A$4:$E$72,4,FALSE)</f>
        <v>479307090</v>
      </c>
      <c r="E42" s="740">
        <f t="shared" si="9"/>
        <v>4413896760</v>
      </c>
      <c r="F42" s="740">
        <v>3868662170</v>
      </c>
      <c r="G42" s="761">
        <f t="shared" si="10"/>
        <v>0.14093621154829344</v>
      </c>
      <c r="H42" s="762">
        <f t="shared" si="1"/>
        <v>4255528387.0000005</v>
      </c>
      <c r="I42" s="763">
        <f>VLOOKUP($A42,[7]Sheet1!$B$2:$U$70,3,FALSE)</f>
        <v>27.65</v>
      </c>
      <c r="J42" s="764">
        <f>VLOOKUP($A42,[7]Sheet1!$B$2:$U$70,4,FALSE)</f>
        <v>115457751</v>
      </c>
      <c r="K42" s="763">
        <f>VLOOKUP($A42,[7]Sheet1!$B$2:$U$70,5,FALSE)</f>
        <v>15.66</v>
      </c>
      <c r="L42" s="764">
        <f>VLOOKUP($A42,[7]Sheet1!$B$2:$U$70,6,FALSE)</f>
        <v>65391262</v>
      </c>
      <c r="M42" s="765">
        <f>VLOOKUP($A42,[7]Sheet1!$B$2:$U$70,7,FALSE)</f>
        <v>0</v>
      </c>
      <c r="N42" s="765">
        <f>VLOOKUP($A42,[7]Sheet1!$B$2:$U$70,8,FALSE)</f>
        <v>0</v>
      </c>
      <c r="O42" s="765">
        <f>VLOOKUP($A42,[7]Sheet1!$B$2:$U$70,9,FALSE)</f>
        <v>0</v>
      </c>
      <c r="P42" s="764">
        <f>VLOOKUP($A42,[7]Sheet1!$B$2:$U$70,10,FALSE)</f>
        <v>0</v>
      </c>
      <c r="Q42" s="740">
        <f t="shared" si="11"/>
        <v>180849013</v>
      </c>
      <c r="R42" s="766">
        <f>VLOOKUP($A42,[7]Sheet1!$B$2:$U$70,11,FALSE)</f>
        <v>2</v>
      </c>
      <c r="S42" s="764">
        <f>VLOOKUP($A42,[7]Sheet1!$B$2:$U$70,12,FALSE)</f>
        <v>8351375</v>
      </c>
      <c r="T42" s="765">
        <f>VLOOKUP($A42,[7]Sheet1!$B$2:$U$70,13,FALSE)</f>
        <v>0</v>
      </c>
      <c r="U42" s="765">
        <f>VLOOKUP($A42,[7]Sheet1!$B$2:$U$70,14,FALSE)</f>
        <v>0</v>
      </c>
      <c r="V42" s="765">
        <f>VLOOKUP($A42,[7]Sheet1!$B$2:$U$70,15,FALSE)</f>
        <v>0</v>
      </c>
      <c r="W42" s="764">
        <f>VLOOKUP($A42,[7]Sheet1!$B$2:$U$70,16,FALSE)</f>
        <v>0</v>
      </c>
      <c r="X42" s="740">
        <f t="shared" si="12"/>
        <v>8351375</v>
      </c>
      <c r="Y42" s="767">
        <f t="shared" si="13"/>
        <v>45.31</v>
      </c>
      <c r="Z42" s="740">
        <f t="shared" si="13"/>
        <v>189200388</v>
      </c>
      <c r="AA42" s="740">
        <f t="shared" si="14"/>
        <v>0</v>
      </c>
      <c r="AB42" s="768">
        <f t="shared" si="2"/>
        <v>1.89</v>
      </c>
      <c r="AC42" s="769">
        <f t="shared" si="3"/>
        <v>40.97</v>
      </c>
      <c r="AD42" s="770">
        <f t="shared" si="4"/>
        <v>42.86</v>
      </c>
      <c r="AE42" s="771">
        <f>VLOOKUP($A42,[8]Sheet1!$A$3:$H$71,4,FALSE)</f>
        <v>0</v>
      </c>
      <c r="AF42" s="771">
        <f t="shared" si="15"/>
        <v>189200388</v>
      </c>
      <c r="AG42" s="772">
        <f>VLOOKUP($A42,[7]Sheet1!$B$2:$U$70,17,FALSE)</f>
        <v>1.4999999999999999E-2</v>
      </c>
      <c r="AH42" s="38">
        <f>VLOOKUP($A42,[7]Sheet1!$B$2:$U$70,18,FALSE)</f>
        <v>118255988</v>
      </c>
      <c r="AI42" s="38">
        <f>VLOOKUP($A42,[7]Sheet1!$B$2:$U$70,19,FALSE)</f>
        <v>10855173</v>
      </c>
      <c r="AJ42" s="38">
        <f>VLOOKUP($A42,[8]Sheet1!$A$3:$H$71,7,FALSE)</f>
        <v>0</v>
      </c>
      <c r="AK42" s="773">
        <f t="shared" si="16"/>
        <v>129111161</v>
      </c>
      <c r="AL42" s="771">
        <v>9867100333</v>
      </c>
      <c r="AM42" s="771">
        <f t="shared" si="19"/>
        <v>8607410733</v>
      </c>
      <c r="AN42" s="774">
        <f t="shared" si="17"/>
        <v>-0.12766563199798772</v>
      </c>
      <c r="AO42" s="789">
        <f t="shared" si="18"/>
        <v>8607410733</v>
      </c>
      <c r="AP42" s="761">
        <f t="shared" si="6"/>
        <v>1.3738857325190456E-2</v>
      </c>
      <c r="AQ42" s="761">
        <f t="shared" si="7"/>
        <v>1.2611426753904391E-3</v>
      </c>
      <c r="AR42" s="771">
        <f>VLOOKUP($A42,[7]Sheet1!$B$2:$U$70,20,FALSE)</f>
        <v>2654880</v>
      </c>
      <c r="AS42" s="771">
        <f t="shared" si="8"/>
        <v>320966429</v>
      </c>
      <c r="AT42" s="771">
        <f>ROUND(AS42/'3_Levels 1&amp;2'!C42,2)</f>
        <v>7023.34</v>
      </c>
    </row>
    <row r="43" spans="1:46" ht="15" customHeight="1" x14ac:dyDescent="0.2">
      <c r="A43" s="738">
        <v>37</v>
      </c>
      <c r="B43" s="760" t="s">
        <v>167</v>
      </c>
      <c r="C43" s="740">
        <f>VLOOKUP($A43,[6]Breakout!$A$4:$E$72,3,FALSE)</f>
        <v>906256899</v>
      </c>
      <c r="D43" s="740">
        <f>VLOOKUP($A43,[6]Breakout!$A$4:$E$72,4,FALSE)</f>
        <v>165013144</v>
      </c>
      <c r="E43" s="740">
        <f t="shared" si="9"/>
        <v>741243755</v>
      </c>
      <c r="F43" s="740">
        <v>719506535</v>
      </c>
      <c r="G43" s="761">
        <f t="shared" si="10"/>
        <v>3.0211289185858473E-2</v>
      </c>
      <c r="H43" s="762">
        <f t="shared" si="1"/>
        <v>741243755</v>
      </c>
      <c r="I43" s="763">
        <f>VLOOKUP($A43,[7]Sheet1!$B$2:$U$70,3,FALSE)</f>
        <v>5.18</v>
      </c>
      <c r="J43" s="764">
        <f>VLOOKUP($A43,[7]Sheet1!$B$2:$U$70,4,FALSE)</f>
        <v>3866382</v>
      </c>
      <c r="K43" s="763">
        <f>VLOOKUP($A43,[7]Sheet1!$B$2:$U$70,5,FALSE)</f>
        <v>24.15</v>
      </c>
      <c r="L43" s="764">
        <f>VLOOKUP($A43,[7]Sheet1!$B$2:$U$70,6,FALSE)</f>
        <v>17718018</v>
      </c>
      <c r="M43" s="765">
        <f>VLOOKUP($A43,[7]Sheet1!$B$2:$U$70,7,FALSE)</f>
        <v>0</v>
      </c>
      <c r="N43" s="765">
        <f>VLOOKUP($A43,[7]Sheet1!$B$2:$U$70,8,FALSE)</f>
        <v>0</v>
      </c>
      <c r="O43" s="765">
        <f>VLOOKUP($A43,[7]Sheet1!$B$2:$U$70,9,FALSE)</f>
        <v>0</v>
      </c>
      <c r="P43" s="764">
        <f>VLOOKUP($A43,[7]Sheet1!$B$2:$U$70,10,FALSE)</f>
        <v>0</v>
      </c>
      <c r="Q43" s="740">
        <f t="shared" si="11"/>
        <v>21584400</v>
      </c>
      <c r="R43" s="765">
        <f>VLOOKUP($A43,[7]Sheet1!$B$2:$U$70,11,FALSE)</f>
        <v>0</v>
      </c>
      <c r="S43" s="764">
        <f>VLOOKUP($A43,[7]Sheet1!$B$2:$U$70,12,FALSE)</f>
        <v>0</v>
      </c>
      <c r="T43" s="765">
        <f>VLOOKUP($A43,[7]Sheet1!$B$2:$U$70,13,FALSE)</f>
        <v>0</v>
      </c>
      <c r="U43" s="765">
        <f>VLOOKUP($A43,[7]Sheet1!$B$2:$U$70,14,FALSE)</f>
        <v>36</v>
      </c>
      <c r="V43" s="765">
        <f>VLOOKUP($A43,[7]Sheet1!$B$2:$U$70,15,FALSE)</f>
        <v>0</v>
      </c>
      <c r="W43" s="764">
        <f>VLOOKUP($A43,[7]Sheet1!$B$2:$U$70,16,FALSE)</f>
        <v>9926935</v>
      </c>
      <c r="X43" s="740">
        <f t="shared" si="12"/>
        <v>9926935</v>
      </c>
      <c r="Y43" s="767">
        <f t="shared" si="13"/>
        <v>29.33</v>
      </c>
      <c r="Z43" s="740">
        <f t="shared" si="13"/>
        <v>21584400</v>
      </c>
      <c r="AA43" s="740">
        <f t="shared" si="14"/>
        <v>9926935</v>
      </c>
      <c r="AB43" s="768">
        <f t="shared" si="2"/>
        <v>13.39</v>
      </c>
      <c r="AC43" s="769">
        <f t="shared" si="3"/>
        <v>29.12</v>
      </c>
      <c r="AD43" s="770">
        <f t="shared" si="4"/>
        <v>42.51</v>
      </c>
      <c r="AE43" s="771">
        <f>VLOOKUP($A43,[8]Sheet1!$A$3:$H$71,4,FALSE)</f>
        <v>0</v>
      </c>
      <c r="AF43" s="771">
        <f t="shared" si="15"/>
        <v>31511335</v>
      </c>
      <c r="AG43" s="772">
        <f>VLOOKUP($A43,[7]Sheet1!$B$2:$U$70,17,FALSE)</f>
        <v>0.03</v>
      </c>
      <c r="AH43" s="38">
        <f>VLOOKUP($A43,[7]Sheet1!$B$2:$U$70,18,FALSE)</f>
        <v>38200189</v>
      </c>
      <c r="AI43" s="38">
        <f>VLOOKUP($A43,[7]Sheet1!$B$2:$U$70,19,FALSE)</f>
        <v>9247449</v>
      </c>
      <c r="AJ43" s="38">
        <f>VLOOKUP($A43,[8]Sheet1!$A$3:$H$71,7,FALSE)</f>
        <v>0</v>
      </c>
      <c r="AK43" s="773">
        <f t="shared" si="16"/>
        <v>47447638</v>
      </c>
      <c r="AL43" s="771">
        <v>1521791267</v>
      </c>
      <c r="AM43" s="771">
        <f t="shared" si="19"/>
        <v>1581587933</v>
      </c>
      <c r="AN43" s="774">
        <f t="shared" si="17"/>
        <v>3.9293605697896278E-2</v>
      </c>
      <c r="AO43" s="789">
        <f t="shared" si="18"/>
        <v>1581587933</v>
      </c>
      <c r="AP43" s="761">
        <f t="shared" si="6"/>
        <v>2.4153060479881645E-2</v>
      </c>
      <c r="AQ43" s="761">
        <f t="shared" si="7"/>
        <v>5.8469395264411136E-3</v>
      </c>
      <c r="AR43" s="771">
        <f>VLOOKUP($A43,[7]Sheet1!$B$2:$U$70,20,FALSE)</f>
        <v>808498</v>
      </c>
      <c r="AS43" s="771">
        <f t="shared" si="8"/>
        <v>79767471</v>
      </c>
      <c r="AT43" s="771">
        <f>ROUND(AS43/'3_Levels 1&amp;2'!C43,2)</f>
        <v>4399.75</v>
      </c>
    </row>
    <row r="44" spans="1:46" ht="15" customHeight="1" x14ac:dyDescent="0.2">
      <c r="A44" s="738">
        <v>38</v>
      </c>
      <c r="B44" s="760" t="s">
        <v>168</v>
      </c>
      <c r="C44" s="740">
        <f>VLOOKUP($A44,[6]Breakout!$A$4:$E$72,3,FALSE)</f>
        <v>1023946195</v>
      </c>
      <c r="D44" s="740">
        <f>VLOOKUP($A44,[6]Breakout!$A$4:$E$72,4,FALSE)</f>
        <v>30417942</v>
      </c>
      <c r="E44" s="740">
        <f t="shared" si="9"/>
        <v>993528253</v>
      </c>
      <c r="F44" s="740">
        <v>985281976</v>
      </c>
      <c r="G44" s="761">
        <f t="shared" si="10"/>
        <v>8.3694588969117616E-3</v>
      </c>
      <c r="H44" s="762">
        <f t="shared" si="1"/>
        <v>993528253</v>
      </c>
      <c r="I44" s="763">
        <f>VLOOKUP($A44,[7]Sheet1!$B$2:$U$70,3,FALSE)</f>
        <v>6.03</v>
      </c>
      <c r="J44" s="764">
        <f>VLOOKUP($A44,[7]Sheet1!$B$2:$U$70,4,FALSE)</f>
        <v>6441316</v>
      </c>
      <c r="K44" s="763">
        <f>VLOOKUP($A44,[7]Sheet1!$B$2:$U$70,5,FALSE)</f>
        <v>18.38</v>
      </c>
      <c r="L44" s="764">
        <f>VLOOKUP($A44,[7]Sheet1!$B$2:$U$70,6,FALSE)</f>
        <v>19308986</v>
      </c>
      <c r="M44" s="765">
        <f>VLOOKUP($A44,[7]Sheet1!$B$2:$U$70,7,FALSE)</f>
        <v>0</v>
      </c>
      <c r="N44" s="765">
        <f>VLOOKUP($A44,[7]Sheet1!$B$2:$U$70,8,FALSE)</f>
        <v>0</v>
      </c>
      <c r="O44" s="765">
        <f>VLOOKUP($A44,[7]Sheet1!$B$2:$U$70,9,FALSE)</f>
        <v>0</v>
      </c>
      <c r="P44" s="764">
        <f>VLOOKUP($A44,[7]Sheet1!$B$2:$U$70,10,FALSE)</f>
        <v>0</v>
      </c>
      <c r="Q44" s="740">
        <f t="shared" si="11"/>
        <v>25750302</v>
      </c>
      <c r="R44" s="765">
        <f>VLOOKUP($A44,[7]Sheet1!$B$2:$U$70,11,FALSE)</f>
        <v>0</v>
      </c>
      <c r="S44" s="764">
        <f>VLOOKUP($A44,[7]Sheet1!$B$2:$U$70,12,FALSE)</f>
        <v>55339</v>
      </c>
      <c r="T44" s="765">
        <f>VLOOKUP($A44,[7]Sheet1!$B$2:$U$70,13,FALSE)</f>
        <v>0</v>
      </c>
      <c r="U44" s="765">
        <f>VLOOKUP($A44,[7]Sheet1!$B$2:$U$70,14,FALSE)</f>
        <v>0</v>
      </c>
      <c r="V44" s="765">
        <f>VLOOKUP($A44,[7]Sheet1!$B$2:$U$70,15,FALSE)</f>
        <v>0</v>
      </c>
      <c r="W44" s="764">
        <f>VLOOKUP($A44,[7]Sheet1!$B$2:$U$70,16,FALSE)</f>
        <v>0</v>
      </c>
      <c r="X44" s="740">
        <f t="shared" si="12"/>
        <v>55339</v>
      </c>
      <c r="Y44" s="767">
        <f t="shared" si="13"/>
        <v>24.41</v>
      </c>
      <c r="Z44" s="740">
        <f t="shared" si="13"/>
        <v>25805641</v>
      </c>
      <c r="AA44" s="740">
        <f t="shared" si="14"/>
        <v>0</v>
      </c>
      <c r="AB44" s="768">
        <f t="shared" si="2"/>
        <v>0.06</v>
      </c>
      <c r="AC44" s="769">
        <f t="shared" si="3"/>
        <v>25.92</v>
      </c>
      <c r="AD44" s="770">
        <f t="shared" si="4"/>
        <v>25.97</v>
      </c>
      <c r="AE44" s="771">
        <f>VLOOKUP($A44,[8]Sheet1!$A$3:$H$71,4,FALSE)</f>
        <v>0</v>
      </c>
      <c r="AF44" s="771">
        <f t="shared" si="15"/>
        <v>25805641</v>
      </c>
      <c r="AG44" s="772">
        <f>VLOOKUP($A44,[7]Sheet1!$B$2:$U$70,17,FALSE)</f>
        <v>2.5000000000000001E-2</v>
      </c>
      <c r="AH44" s="38">
        <f>VLOOKUP($A44,[7]Sheet1!$B$2:$U$70,18,FALSE)</f>
        <v>16975011</v>
      </c>
      <c r="AI44" s="38">
        <f>VLOOKUP($A44,[7]Sheet1!$B$2:$U$70,19,FALSE)</f>
        <v>0</v>
      </c>
      <c r="AJ44" s="38">
        <f>VLOOKUP($A44,[8]Sheet1!$A$3:$H$71,7,FALSE)</f>
        <v>0</v>
      </c>
      <c r="AK44" s="773">
        <f t="shared" si="16"/>
        <v>16975011</v>
      </c>
      <c r="AL44" s="771">
        <v>675355600</v>
      </c>
      <c r="AM44" s="771">
        <f t="shared" si="19"/>
        <v>679000440</v>
      </c>
      <c r="AN44" s="772">
        <f t="shared" si="17"/>
        <v>5.3969197856655075E-3</v>
      </c>
      <c r="AO44" s="771">
        <f t="shared" si="18"/>
        <v>679000440</v>
      </c>
      <c r="AP44" s="761">
        <f t="shared" si="6"/>
        <v>2.5000000000000001E-2</v>
      </c>
      <c r="AQ44" s="761">
        <f t="shared" si="7"/>
        <v>0</v>
      </c>
      <c r="AR44" s="771">
        <f>VLOOKUP($A44,[7]Sheet1!$B$2:$U$70,20,FALSE)</f>
        <v>100306</v>
      </c>
      <c r="AS44" s="771">
        <f t="shared" si="8"/>
        <v>42880958</v>
      </c>
      <c r="AT44" s="771">
        <f>ROUND(AS44/'3_Levels 1&amp;2'!C44,2)</f>
        <v>11266.67</v>
      </c>
    </row>
    <row r="45" spans="1:46" ht="15" customHeight="1" x14ac:dyDescent="0.2">
      <c r="A45" s="738">
        <v>39</v>
      </c>
      <c r="B45" s="760" t="s">
        <v>169</v>
      </c>
      <c r="C45" s="740">
        <f>VLOOKUP($A45,[6]Breakout!$A$4:$E$72,3,FALSE)</f>
        <v>515673079</v>
      </c>
      <c r="D45" s="740">
        <f>VLOOKUP($A45,[6]Breakout!$A$4:$E$72,4,FALSE)</f>
        <v>41448081</v>
      </c>
      <c r="E45" s="740">
        <f t="shared" si="9"/>
        <v>474224998</v>
      </c>
      <c r="F45" s="740">
        <v>492536593</v>
      </c>
      <c r="G45" s="761">
        <f t="shared" si="10"/>
        <v>-3.7178141198536289E-2</v>
      </c>
      <c r="H45" s="762">
        <f t="shared" si="1"/>
        <v>474224998</v>
      </c>
      <c r="I45" s="763">
        <f>VLOOKUP($A45,[7]Sheet1!$B$2:$U$70,3,FALSE)</f>
        <v>4.54</v>
      </c>
      <c r="J45" s="764">
        <f>VLOOKUP($A45,[7]Sheet1!$B$2:$U$70,4,FALSE)</f>
        <v>2143467</v>
      </c>
      <c r="K45" s="763">
        <f>VLOOKUP($A45,[7]Sheet1!$B$2:$U$70,5,FALSE)</f>
        <v>11.96</v>
      </c>
      <c r="L45" s="764">
        <f>VLOOKUP($A45,[7]Sheet1!$B$2:$U$70,6,FALSE)</f>
        <v>5646663</v>
      </c>
      <c r="M45" s="765">
        <f>VLOOKUP($A45,[7]Sheet1!$B$2:$U$70,7,FALSE)</f>
        <v>0</v>
      </c>
      <c r="N45" s="765">
        <f>VLOOKUP($A45,[7]Sheet1!$B$2:$U$70,8,FALSE)</f>
        <v>0</v>
      </c>
      <c r="O45" s="765">
        <f>VLOOKUP($A45,[7]Sheet1!$B$2:$U$70,9,FALSE)</f>
        <v>0</v>
      </c>
      <c r="P45" s="764">
        <f>VLOOKUP($A45,[7]Sheet1!$B$2:$U$70,10,FALSE)</f>
        <v>0</v>
      </c>
      <c r="Q45" s="740">
        <f t="shared" si="11"/>
        <v>7790130</v>
      </c>
      <c r="R45" s="765">
        <f>VLOOKUP($A45,[7]Sheet1!$B$2:$U$70,11,FALSE)</f>
        <v>0</v>
      </c>
      <c r="S45" s="764">
        <f>VLOOKUP($A45,[7]Sheet1!$B$2:$U$70,12,FALSE)</f>
        <v>0</v>
      </c>
      <c r="T45" s="765">
        <f>VLOOKUP($A45,[7]Sheet1!$B$2:$U$70,13,FALSE)</f>
        <v>0</v>
      </c>
      <c r="U45" s="765">
        <f>VLOOKUP($A45,[7]Sheet1!$B$2:$U$70,14,FALSE)</f>
        <v>0</v>
      </c>
      <c r="V45" s="765">
        <f>VLOOKUP($A45,[7]Sheet1!$B$2:$U$70,15,FALSE)</f>
        <v>0</v>
      </c>
      <c r="W45" s="764">
        <f>VLOOKUP($A45,[7]Sheet1!$B$2:$U$70,16,FALSE)</f>
        <v>0</v>
      </c>
      <c r="X45" s="740">
        <f t="shared" si="12"/>
        <v>0</v>
      </c>
      <c r="Y45" s="767">
        <f t="shared" si="13"/>
        <v>16.5</v>
      </c>
      <c r="Z45" s="740">
        <f t="shared" si="13"/>
        <v>7790130</v>
      </c>
      <c r="AA45" s="740">
        <f t="shared" si="14"/>
        <v>0</v>
      </c>
      <c r="AB45" s="768">
        <f t="shared" si="2"/>
        <v>0</v>
      </c>
      <c r="AC45" s="769">
        <f t="shared" si="3"/>
        <v>16.43</v>
      </c>
      <c r="AD45" s="770">
        <f t="shared" si="4"/>
        <v>16.43</v>
      </c>
      <c r="AE45" s="771">
        <f>VLOOKUP($A45,[8]Sheet1!$A$3:$H$71,4,FALSE)</f>
        <v>0</v>
      </c>
      <c r="AF45" s="771">
        <f t="shared" si="15"/>
        <v>7790130</v>
      </c>
      <c r="AG45" s="772">
        <f>VLOOKUP($A45,[7]Sheet1!$B$2:$U$70,17,FALSE)</f>
        <v>0.02</v>
      </c>
      <c r="AH45" s="38">
        <f>VLOOKUP($A45,[7]Sheet1!$B$2:$U$70,18,FALSE)</f>
        <v>7349527</v>
      </c>
      <c r="AI45" s="38">
        <f>VLOOKUP($A45,[7]Sheet1!$B$2:$U$70,19,FALSE)</f>
        <v>0</v>
      </c>
      <c r="AJ45" s="38">
        <f>VLOOKUP($A45,[8]Sheet1!$A$3:$H$71,7,FALSE)</f>
        <v>0</v>
      </c>
      <c r="AK45" s="773">
        <f t="shared" si="16"/>
        <v>7349527</v>
      </c>
      <c r="AL45" s="771">
        <v>350901800</v>
      </c>
      <c r="AM45" s="771">
        <f t="shared" si="19"/>
        <v>367476350</v>
      </c>
      <c r="AN45" s="772">
        <f t="shared" si="17"/>
        <v>4.7234154968712042E-2</v>
      </c>
      <c r="AO45" s="771">
        <f t="shared" si="18"/>
        <v>367476350</v>
      </c>
      <c r="AP45" s="761">
        <f t="shared" si="6"/>
        <v>0.02</v>
      </c>
      <c r="AQ45" s="761">
        <f t="shared" si="7"/>
        <v>0</v>
      </c>
      <c r="AR45" s="771">
        <f>VLOOKUP($A45,[7]Sheet1!$B$2:$U$70,20,FALSE)</f>
        <v>149851</v>
      </c>
      <c r="AS45" s="771">
        <f t="shared" si="8"/>
        <v>15289508</v>
      </c>
      <c r="AT45" s="771">
        <f>ROUND(AS45/'3_Levels 1&amp;2'!C45,2)</f>
        <v>5963.15</v>
      </c>
    </row>
    <row r="46" spans="1:46" ht="15" customHeight="1" x14ac:dyDescent="0.2">
      <c r="A46" s="742">
        <v>40</v>
      </c>
      <c r="B46" s="775" t="s">
        <v>170</v>
      </c>
      <c r="C46" s="744">
        <f>VLOOKUP($A46,[6]Breakout!$A$4:$E$72,3,FALSE)</f>
        <v>1037972064</v>
      </c>
      <c r="D46" s="744">
        <f>VLOOKUP($A46,[6]Breakout!$A$4:$E$72,4,FALSE)</f>
        <v>186596959</v>
      </c>
      <c r="E46" s="744">
        <f t="shared" si="9"/>
        <v>851375105</v>
      </c>
      <c r="F46" s="744">
        <v>844277422</v>
      </c>
      <c r="G46" s="776">
        <f t="shared" si="10"/>
        <v>8.406813702522534E-3</v>
      </c>
      <c r="H46" s="777">
        <f t="shared" si="1"/>
        <v>851375105</v>
      </c>
      <c r="I46" s="778">
        <f>VLOOKUP($A46,[7]Sheet1!$B$2:$U$70,3,FALSE)</f>
        <v>4.93</v>
      </c>
      <c r="J46" s="779">
        <f>VLOOKUP($A46,[7]Sheet1!$B$2:$U$70,4,FALSE)</f>
        <v>4111906</v>
      </c>
      <c r="K46" s="778">
        <f>VLOOKUP($A46,[7]Sheet1!$B$2:$U$70,5,FALSE)</f>
        <v>21.64</v>
      </c>
      <c r="L46" s="779">
        <f>VLOOKUP($A46,[7]Sheet1!$B$2:$U$70,6,FALSE)</f>
        <v>18099507</v>
      </c>
      <c r="M46" s="780">
        <f>VLOOKUP($A46,[7]Sheet1!$B$2:$U$70,7,FALSE)</f>
        <v>0</v>
      </c>
      <c r="N46" s="780">
        <f>VLOOKUP($A46,[7]Sheet1!$B$2:$U$70,8,FALSE)</f>
        <v>20.72</v>
      </c>
      <c r="O46" s="780">
        <f>VLOOKUP($A46,[7]Sheet1!$B$2:$U$70,9,FALSE)</f>
        <v>13</v>
      </c>
      <c r="P46" s="779">
        <f>VLOOKUP($A46,[7]Sheet1!$B$2:$U$70,10,FALSE)</f>
        <v>9248411</v>
      </c>
      <c r="Q46" s="744">
        <f t="shared" si="11"/>
        <v>31459824</v>
      </c>
      <c r="R46" s="780">
        <f>VLOOKUP($A46,[7]Sheet1!$B$2:$U$70,11,FALSE)</f>
        <v>0</v>
      </c>
      <c r="S46" s="779">
        <f>VLOOKUP($A46,[7]Sheet1!$B$2:$U$70,12,FALSE)</f>
        <v>0</v>
      </c>
      <c r="T46" s="780">
        <f>VLOOKUP($A46,[7]Sheet1!$B$2:$U$70,13,FALSE)</f>
        <v>0</v>
      </c>
      <c r="U46" s="780">
        <f>VLOOKUP($A46,[7]Sheet1!$B$2:$U$70,14,FALSE)</f>
        <v>35</v>
      </c>
      <c r="V46" s="780">
        <f>VLOOKUP($A46,[7]Sheet1!$B$2:$U$70,15,FALSE)</f>
        <v>9</v>
      </c>
      <c r="W46" s="779">
        <f>VLOOKUP($A46,[7]Sheet1!$B$2:$U$70,16,FALSE)</f>
        <v>5868308</v>
      </c>
      <c r="X46" s="744">
        <f t="shared" si="12"/>
        <v>5868308</v>
      </c>
      <c r="Y46" s="781">
        <f t="shared" si="13"/>
        <v>26.57</v>
      </c>
      <c r="Z46" s="744">
        <f t="shared" si="13"/>
        <v>22211413</v>
      </c>
      <c r="AA46" s="744">
        <f t="shared" si="14"/>
        <v>15116719</v>
      </c>
      <c r="AB46" s="782">
        <f t="shared" si="2"/>
        <v>6.89</v>
      </c>
      <c r="AC46" s="783">
        <f t="shared" si="3"/>
        <v>36.950000000000003</v>
      </c>
      <c r="AD46" s="784">
        <f t="shared" si="4"/>
        <v>43.84</v>
      </c>
      <c r="AE46" s="785">
        <f>VLOOKUP($A46,[8]Sheet1!$A$3:$H$71,4,FALSE)</f>
        <v>0</v>
      </c>
      <c r="AF46" s="785">
        <f t="shared" si="15"/>
        <v>37328132</v>
      </c>
      <c r="AG46" s="786">
        <f>VLOOKUP($A46,[7]Sheet1!$B$2:$U$70,17,FALSE)</f>
        <v>0.02</v>
      </c>
      <c r="AH46" s="787">
        <f>VLOOKUP($A46,[7]Sheet1!$B$2:$U$70,18,FALSE)</f>
        <v>54489916</v>
      </c>
      <c r="AI46" s="787">
        <f>VLOOKUP($A46,[7]Sheet1!$B$2:$U$70,19,FALSE)</f>
        <v>0</v>
      </c>
      <c r="AJ46" s="787">
        <f>VLOOKUP($A46,[8]Sheet1!$A$3:$H$71,7,FALSE)</f>
        <v>0</v>
      </c>
      <c r="AK46" s="788">
        <f t="shared" si="16"/>
        <v>54489916</v>
      </c>
      <c r="AL46" s="785">
        <v>2598537800</v>
      </c>
      <c r="AM46" s="785">
        <f t="shared" si="19"/>
        <v>2724495800</v>
      </c>
      <c r="AN46" s="786">
        <f t="shared" si="17"/>
        <v>4.8472644885135016E-2</v>
      </c>
      <c r="AO46" s="785">
        <f t="shared" si="18"/>
        <v>2724495800</v>
      </c>
      <c r="AP46" s="776">
        <f t="shared" si="6"/>
        <v>0.02</v>
      </c>
      <c r="AQ46" s="776">
        <f t="shared" si="7"/>
        <v>0</v>
      </c>
      <c r="AR46" s="785">
        <f>VLOOKUP($A46,[7]Sheet1!$B$2:$U$70,20,FALSE)</f>
        <v>1021524</v>
      </c>
      <c r="AS46" s="785">
        <f t="shared" si="8"/>
        <v>92839572</v>
      </c>
      <c r="AT46" s="785">
        <f>ROUND(AS46/'3_Levels 1&amp;2'!C46,2)</f>
        <v>4348.25</v>
      </c>
    </row>
    <row r="47" spans="1:46" ht="15" customHeight="1" x14ac:dyDescent="0.2">
      <c r="A47" s="738">
        <v>41</v>
      </c>
      <c r="B47" s="760" t="s">
        <v>171</v>
      </c>
      <c r="C47" s="740">
        <f>VLOOKUP($A47,[6]Breakout!$A$4:$E$72,3,FALSE)</f>
        <v>240421310</v>
      </c>
      <c r="D47" s="740">
        <f>VLOOKUP($A47,[6]Breakout!$A$4:$E$72,4,FALSE)</f>
        <v>11535770</v>
      </c>
      <c r="E47" s="740">
        <f t="shared" si="9"/>
        <v>228885540</v>
      </c>
      <c r="F47" s="740">
        <v>231410490</v>
      </c>
      <c r="G47" s="761">
        <f t="shared" si="10"/>
        <v>-1.0911130260343859E-2</v>
      </c>
      <c r="H47" s="762">
        <f t="shared" si="1"/>
        <v>228885540</v>
      </c>
      <c r="I47" s="763">
        <f>VLOOKUP($A47,[7]Sheet1!$B$2:$U$70,3,FALSE)</f>
        <v>4.97</v>
      </c>
      <c r="J47" s="764">
        <f>VLOOKUP($A47,[7]Sheet1!$B$2:$U$70,4,FALSE)</f>
        <v>1136994</v>
      </c>
      <c r="K47" s="763">
        <f>VLOOKUP($A47,[7]Sheet1!$B$2:$U$70,5,FALSE)</f>
        <v>38.119999999999997</v>
      </c>
      <c r="L47" s="764">
        <f>VLOOKUP($A47,[7]Sheet1!$B$2:$U$70,6,FALSE)</f>
        <v>8720784</v>
      </c>
      <c r="M47" s="765">
        <f>VLOOKUP($A47,[7]Sheet1!$B$2:$U$70,7,FALSE)</f>
        <v>0</v>
      </c>
      <c r="N47" s="765">
        <f>VLOOKUP($A47,[7]Sheet1!$B$2:$U$70,8,FALSE)</f>
        <v>0</v>
      </c>
      <c r="O47" s="765">
        <f>VLOOKUP($A47,[7]Sheet1!$B$2:$U$70,9,FALSE)</f>
        <v>0</v>
      </c>
      <c r="P47" s="764">
        <f>VLOOKUP($A47,[7]Sheet1!$B$2:$U$70,10,FALSE)</f>
        <v>0</v>
      </c>
      <c r="Q47" s="740">
        <f t="shared" si="11"/>
        <v>9857778</v>
      </c>
      <c r="R47" s="766">
        <f>VLOOKUP($A47,[7]Sheet1!$B$2:$U$70,11,FALSE)</f>
        <v>9.6</v>
      </c>
      <c r="S47" s="764">
        <f>VLOOKUP($A47,[7]Sheet1!$B$2:$U$70,12,FALSE)</f>
        <v>2196212</v>
      </c>
      <c r="T47" s="765">
        <f>VLOOKUP($A47,[7]Sheet1!$B$2:$U$70,13,FALSE)</f>
        <v>0</v>
      </c>
      <c r="U47" s="765">
        <f>VLOOKUP($A47,[7]Sheet1!$B$2:$U$70,14,FALSE)</f>
        <v>0</v>
      </c>
      <c r="V47" s="765">
        <f>VLOOKUP($A47,[7]Sheet1!$B$2:$U$70,15,FALSE)</f>
        <v>0</v>
      </c>
      <c r="W47" s="764">
        <f>VLOOKUP($A47,[7]Sheet1!$B$2:$U$70,16,FALSE)</f>
        <v>0</v>
      </c>
      <c r="X47" s="740">
        <f t="shared" si="12"/>
        <v>2196212</v>
      </c>
      <c r="Y47" s="767">
        <f t="shared" si="13"/>
        <v>52.69</v>
      </c>
      <c r="Z47" s="740">
        <f t="shared" si="13"/>
        <v>12053990</v>
      </c>
      <c r="AA47" s="740">
        <f t="shared" si="14"/>
        <v>0</v>
      </c>
      <c r="AB47" s="768">
        <f t="shared" si="2"/>
        <v>9.6</v>
      </c>
      <c r="AC47" s="769">
        <f t="shared" si="3"/>
        <v>43.07</v>
      </c>
      <c r="AD47" s="770">
        <f t="shared" si="4"/>
        <v>52.66</v>
      </c>
      <c r="AE47" s="771">
        <f>VLOOKUP($A47,[8]Sheet1!$A$3:$H$71,4,FALSE)</f>
        <v>0</v>
      </c>
      <c r="AF47" s="771">
        <f t="shared" si="15"/>
        <v>12053990</v>
      </c>
      <c r="AG47" s="772">
        <f>VLOOKUP($A47,[7]Sheet1!$B$2:$U$70,17,FALSE)</f>
        <v>0.02</v>
      </c>
      <c r="AH47" s="38">
        <f>VLOOKUP($A47,[7]Sheet1!$B$2:$U$70,18,FALSE)</f>
        <v>4581902</v>
      </c>
      <c r="AI47" s="38">
        <f>VLOOKUP($A47,[7]Sheet1!$B$2:$U$70,19,FALSE)</f>
        <v>0</v>
      </c>
      <c r="AJ47" s="38">
        <f>VLOOKUP($A47,[8]Sheet1!$A$3:$H$71,7,FALSE)</f>
        <v>0</v>
      </c>
      <c r="AK47" s="773">
        <f t="shared" si="16"/>
        <v>4581902</v>
      </c>
      <c r="AL47" s="771">
        <v>240400300</v>
      </c>
      <c r="AM47" s="771">
        <f t="shared" si="19"/>
        <v>229095100</v>
      </c>
      <c r="AN47" s="774">
        <f t="shared" si="17"/>
        <v>-4.7026563610777526E-2</v>
      </c>
      <c r="AO47" s="789">
        <f t="shared" si="18"/>
        <v>229095100</v>
      </c>
      <c r="AP47" s="761">
        <f t="shared" si="6"/>
        <v>0.02</v>
      </c>
      <c r="AQ47" s="761">
        <f t="shared" si="7"/>
        <v>0</v>
      </c>
      <c r="AR47" s="771">
        <f>VLOOKUP($A47,[7]Sheet1!$B$2:$U$70,20,FALSE)</f>
        <v>74641</v>
      </c>
      <c r="AS47" s="771">
        <f t="shared" si="8"/>
        <v>16710533</v>
      </c>
      <c r="AT47" s="771">
        <f>ROUND(AS47/'3_Levels 1&amp;2'!C47,2)</f>
        <v>13400.59</v>
      </c>
    </row>
    <row r="48" spans="1:46" ht="15" customHeight="1" x14ac:dyDescent="0.2">
      <c r="A48" s="738">
        <v>42</v>
      </c>
      <c r="B48" s="760" t="s">
        <v>172</v>
      </c>
      <c r="C48" s="740">
        <f>VLOOKUP($A48,[6]Breakout!$A$4:$E$72,3,FALSE)</f>
        <v>241877610</v>
      </c>
      <c r="D48" s="740">
        <f>VLOOKUP($A48,[6]Breakout!$A$4:$E$72,4,FALSE)</f>
        <v>29475087</v>
      </c>
      <c r="E48" s="740">
        <f t="shared" si="9"/>
        <v>212402523</v>
      </c>
      <c r="F48" s="740">
        <v>209961729</v>
      </c>
      <c r="G48" s="761">
        <f t="shared" si="10"/>
        <v>1.1624947135008589E-2</v>
      </c>
      <c r="H48" s="762">
        <f t="shared" si="1"/>
        <v>212402523</v>
      </c>
      <c r="I48" s="763">
        <f>VLOOKUP($A48,[7]Sheet1!$B$2:$U$70,3,FALSE)</f>
        <v>9.6999999999999993</v>
      </c>
      <c r="J48" s="764">
        <f>VLOOKUP($A48,[7]Sheet1!$B$2:$U$70,4,FALSE)</f>
        <v>1973270</v>
      </c>
      <c r="K48" s="763">
        <f>VLOOKUP($A48,[7]Sheet1!$B$2:$U$70,5,FALSE)</f>
        <v>9.57</v>
      </c>
      <c r="L48" s="764">
        <f>VLOOKUP($A48,[7]Sheet1!$B$2:$U$70,6,FALSE)</f>
        <v>1946829</v>
      </c>
      <c r="M48" s="765">
        <f>VLOOKUP($A48,[7]Sheet1!$B$2:$U$70,7,FALSE)</f>
        <v>0</v>
      </c>
      <c r="N48" s="765">
        <f>VLOOKUP($A48,[7]Sheet1!$B$2:$U$70,8,FALSE)</f>
        <v>0</v>
      </c>
      <c r="O48" s="765">
        <f>VLOOKUP($A48,[7]Sheet1!$B$2:$U$70,9,FALSE)</f>
        <v>0</v>
      </c>
      <c r="P48" s="764">
        <f>VLOOKUP($A48,[7]Sheet1!$B$2:$U$70,10,FALSE)</f>
        <v>0</v>
      </c>
      <c r="Q48" s="740">
        <f t="shared" si="11"/>
        <v>3920099</v>
      </c>
      <c r="R48" s="765">
        <f>VLOOKUP($A48,[7]Sheet1!$B$2:$U$70,11,FALSE)</f>
        <v>0</v>
      </c>
      <c r="S48" s="764">
        <f>VLOOKUP($A48,[7]Sheet1!$B$2:$U$70,12,FALSE)</f>
        <v>0</v>
      </c>
      <c r="T48" s="765">
        <f>VLOOKUP($A48,[7]Sheet1!$B$2:$U$70,13,FALSE)</f>
        <v>0</v>
      </c>
      <c r="U48" s="765">
        <f>VLOOKUP($A48,[7]Sheet1!$B$2:$U$70,14,FALSE)</f>
        <v>31</v>
      </c>
      <c r="V48" s="765">
        <f>VLOOKUP($A48,[7]Sheet1!$B$2:$U$70,15,FALSE)</f>
        <v>3</v>
      </c>
      <c r="W48" s="764">
        <f>VLOOKUP($A48,[7]Sheet1!$B$2:$U$70,16,FALSE)</f>
        <v>2866758</v>
      </c>
      <c r="X48" s="740">
        <f t="shared" si="12"/>
        <v>2866758</v>
      </c>
      <c r="Y48" s="767">
        <f t="shared" si="13"/>
        <v>19.27</v>
      </c>
      <c r="Z48" s="740">
        <f t="shared" si="13"/>
        <v>3920099</v>
      </c>
      <c r="AA48" s="740">
        <f t="shared" si="14"/>
        <v>2866758</v>
      </c>
      <c r="AB48" s="768">
        <f t="shared" si="2"/>
        <v>13.5</v>
      </c>
      <c r="AC48" s="769">
        <f t="shared" si="3"/>
        <v>18.46</v>
      </c>
      <c r="AD48" s="770">
        <f t="shared" si="4"/>
        <v>31.95</v>
      </c>
      <c r="AE48" s="771">
        <f>VLOOKUP($A48,[8]Sheet1!$A$3:$H$71,4,FALSE)</f>
        <v>0</v>
      </c>
      <c r="AF48" s="771">
        <f t="shared" si="15"/>
        <v>6786857</v>
      </c>
      <c r="AG48" s="772">
        <f>VLOOKUP($A48,[7]Sheet1!$B$2:$U$70,17,FALSE)</f>
        <v>0.02</v>
      </c>
      <c r="AH48" s="38">
        <f>VLOOKUP($A48,[7]Sheet1!$B$2:$U$70,18,FALSE)</f>
        <v>6359745</v>
      </c>
      <c r="AI48" s="38">
        <f>VLOOKUP($A48,[7]Sheet1!$B$2:$U$70,19,FALSE)</f>
        <v>0</v>
      </c>
      <c r="AJ48" s="38">
        <f>VLOOKUP($A48,[8]Sheet1!$A$3:$H$71,7,FALSE)</f>
        <v>0</v>
      </c>
      <c r="AK48" s="773">
        <f t="shared" si="16"/>
        <v>6359745</v>
      </c>
      <c r="AL48" s="771">
        <v>310354900</v>
      </c>
      <c r="AM48" s="771">
        <f t="shared" si="19"/>
        <v>317987250</v>
      </c>
      <c r="AN48" s="774">
        <f t="shared" si="17"/>
        <v>2.4592329620057553E-2</v>
      </c>
      <c r="AO48" s="789">
        <f t="shared" si="18"/>
        <v>317987250</v>
      </c>
      <c r="AP48" s="761">
        <f t="shared" si="6"/>
        <v>0.02</v>
      </c>
      <c r="AQ48" s="761">
        <f t="shared" si="7"/>
        <v>0</v>
      </c>
      <c r="AR48" s="771">
        <f>VLOOKUP($A48,[7]Sheet1!$B$2:$U$70,20,FALSE)</f>
        <v>211432</v>
      </c>
      <c r="AS48" s="771">
        <f t="shared" si="8"/>
        <v>13358034</v>
      </c>
      <c r="AT48" s="771">
        <f>ROUND(AS48/'3_Levels 1&amp;2'!C48,2)</f>
        <v>4956.6000000000004</v>
      </c>
    </row>
    <row r="49" spans="1:46" ht="15" customHeight="1" x14ac:dyDescent="0.2">
      <c r="A49" s="738">
        <v>43</v>
      </c>
      <c r="B49" s="760" t="s">
        <v>173</v>
      </c>
      <c r="C49" s="740">
        <f>VLOOKUP($A49,[6]Breakout!$A$4:$E$72,3,FALSE)</f>
        <v>256645160</v>
      </c>
      <c r="D49" s="740">
        <f>VLOOKUP($A49,[6]Breakout!$A$4:$E$72,4,FALSE)</f>
        <v>39734934</v>
      </c>
      <c r="E49" s="740">
        <f t="shared" si="9"/>
        <v>216910226</v>
      </c>
      <c r="F49" s="740">
        <v>180028223</v>
      </c>
      <c r="G49" s="761">
        <f t="shared" si="10"/>
        <v>0.20486789451896106</v>
      </c>
      <c r="H49" s="762">
        <f t="shared" si="1"/>
        <v>198031045.30000001</v>
      </c>
      <c r="I49" s="763">
        <f>VLOOKUP($A49,[7]Sheet1!$B$2:$U$70,3,FALSE)</f>
        <v>5.35</v>
      </c>
      <c r="J49" s="764">
        <f>VLOOKUP($A49,[7]Sheet1!$B$2:$U$70,4,FALSE)</f>
        <v>1070825</v>
      </c>
      <c r="K49" s="763">
        <f>VLOOKUP($A49,[7]Sheet1!$B$2:$U$70,5,FALSE)</f>
        <v>9.02</v>
      </c>
      <c r="L49" s="764">
        <f>VLOOKUP($A49,[7]Sheet1!$B$2:$U$70,6,FALSE)</f>
        <v>1805292</v>
      </c>
      <c r="M49" s="765">
        <f>VLOOKUP($A49,[7]Sheet1!$B$2:$U$70,7,FALSE)</f>
        <v>0</v>
      </c>
      <c r="N49" s="765">
        <f>VLOOKUP($A49,[7]Sheet1!$B$2:$U$70,8,FALSE)</f>
        <v>16.09</v>
      </c>
      <c r="O49" s="765">
        <f>VLOOKUP($A49,[7]Sheet1!$B$2:$U$70,9,FALSE)</f>
        <v>7</v>
      </c>
      <c r="P49" s="764">
        <f>VLOOKUP($A49,[7]Sheet1!$B$2:$U$70,10,FALSE)</f>
        <v>1916460</v>
      </c>
      <c r="Q49" s="740">
        <f t="shared" si="11"/>
        <v>4792577</v>
      </c>
      <c r="R49" s="765">
        <f>VLOOKUP($A49,[7]Sheet1!$B$2:$U$70,11,FALSE)</f>
        <v>0</v>
      </c>
      <c r="S49" s="764">
        <f>VLOOKUP($A49,[7]Sheet1!$B$2:$U$70,12,FALSE)</f>
        <v>0</v>
      </c>
      <c r="T49" s="765">
        <f>VLOOKUP($A49,[7]Sheet1!$B$2:$U$70,13,FALSE)</f>
        <v>0</v>
      </c>
      <c r="U49" s="765">
        <f>VLOOKUP($A49,[7]Sheet1!$B$2:$U$70,14,FALSE)</f>
        <v>25.75</v>
      </c>
      <c r="V49" s="765">
        <f>VLOOKUP($A49,[7]Sheet1!$B$2:$U$70,15,FALSE)</f>
        <v>7</v>
      </c>
      <c r="W49" s="764">
        <f>VLOOKUP($A49,[7]Sheet1!$B$2:$U$70,16,FALSE)</f>
        <v>1650758</v>
      </c>
      <c r="X49" s="740">
        <f t="shared" si="12"/>
        <v>1650758</v>
      </c>
      <c r="Y49" s="767">
        <f t="shared" si="13"/>
        <v>14.37</v>
      </c>
      <c r="Z49" s="740">
        <f t="shared" si="13"/>
        <v>2876117</v>
      </c>
      <c r="AA49" s="740">
        <f t="shared" si="14"/>
        <v>3567218</v>
      </c>
      <c r="AB49" s="768">
        <f t="shared" si="2"/>
        <v>7.61</v>
      </c>
      <c r="AC49" s="769">
        <f t="shared" si="3"/>
        <v>22.09</v>
      </c>
      <c r="AD49" s="770">
        <f t="shared" si="4"/>
        <v>29.71</v>
      </c>
      <c r="AE49" s="771">
        <f>VLOOKUP($A49,[8]Sheet1!$A$3:$H$71,4,FALSE)</f>
        <v>0</v>
      </c>
      <c r="AF49" s="771">
        <f t="shared" si="15"/>
        <v>6443335</v>
      </c>
      <c r="AG49" s="772">
        <f>VLOOKUP($A49,[7]Sheet1!$B$2:$U$70,17,FALSE)</f>
        <v>2.5000000000000001E-2</v>
      </c>
      <c r="AH49" s="38">
        <f>VLOOKUP($A49,[7]Sheet1!$B$2:$U$70,18,FALSE)</f>
        <v>12850625</v>
      </c>
      <c r="AI49" s="38">
        <f>VLOOKUP($A49,[7]Sheet1!$B$2:$U$70,19,FALSE)</f>
        <v>675962</v>
      </c>
      <c r="AJ49" s="38">
        <f>VLOOKUP($A49,[8]Sheet1!$A$3:$H$71,7,FALSE)</f>
        <v>0</v>
      </c>
      <c r="AK49" s="773">
        <f t="shared" si="16"/>
        <v>13526587</v>
      </c>
      <c r="AL49" s="771">
        <v>453144160</v>
      </c>
      <c r="AM49" s="771">
        <f t="shared" si="19"/>
        <v>541063480</v>
      </c>
      <c r="AN49" s="772">
        <f t="shared" si="17"/>
        <v>0.19402064014242179</v>
      </c>
      <c r="AO49" s="771">
        <f t="shared" si="18"/>
        <v>521115783.99999994</v>
      </c>
      <c r="AP49" s="761">
        <f t="shared" si="6"/>
        <v>2.3750678940667E-2</v>
      </c>
      <c r="AQ49" s="761">
        <f t="shared" si="7"/>
        <v>1.249321059333001E-3</v>
      </c>
      <c r="AR49" s="771">
        <f>VLOOKUP($A49,[7]Sheet1!$B$2:$U$70,20,FALSE)</f>
        <v>157920</v>
      </c>
      <c r="AS49" s="771">
        <f t="shared" si="8"/>
        <v>20127842</v>
      </c>
      <c r="AT49" s="771">
        <f>ROUND(AS49/'3_Levels 1&amp;2'!C49,2)</f>
        <v>5111.18</v>
      </c>
    </row>
    <row r="50" spans="1:46" ht="15" customHeight="1" x14ac:dyDescent="0.2">
      <c r="A50" s="738">
        <v>44</v>
      </c>
      <c r="B50" s="760" t="s">
        <v>174</v>
      </c>
      <c r="C50" s="740">
        <f>VLOOKUP($A50,[6]Breakout!$A$4:$E$72,3,FALSE)</f>
        <v>469350134</v>
      </c>
      <c r="D50" s="740">
        <f>VLOOKUP($A50,[6]Breakout!$A$4:$E$72,4,FALSE)</f>
        <v>67482580</v>
      </c>
      <c r="E50" s="740">
        <f t="shared" si="9"/>
        <v>401867554</v>
      </c>
      <c r="F50" s="740">
        <v>347214996</v>
      </c>
      <c r="G50" s="761">
        <f t="shared" si="10"/>
        <v>0.15740264282824928</v>
      </c>
      <c r="H50" s="762">
        <f t="shared" si="1"/>
        <v>381936495.60000002</v>
      </c>
      <c r="I50" s="763">
        <f>VLOOKUP($A50,[7]Sheet1!$B$2:$U$70,3,FALSE)</f>
        <v>3.83</v>
      </c>
      <c r="J50" s="764">
        <f>VLOOKUP($A50,[7]Sheet1!$B$2:$U$70,4,FALSE)</f>
        <v>1578164</v>
      </c>
      <c r="K50" s="763">
        <f>VLOOKUP($A50,[7]Sheet1!$B$2:$U$70,5,FALSE)</f>
        <v>37.39</v>
      </c>
      <c r="L50" s="764">
        <f>VLOOKUP($A50,[7]Sheet1!$B$2:$U$70,6,FALSE)</f>
        <v>15406135</v>
      </c>
      <c r="M50" s="765">
        <f>VLOOKUP($A50,[7]Sheet1!$B$2:$U$70,7,FALSE)</f>
        <v>0</v>
      </c>
      <c r="N50" s="765">
        <f>VLOOKUP($A50,[7]Sheet1!$B$2:$U$70,8,FALSE)</f>
        <v>0</v>
      </c>
      <c r="O50" s="765">
        <f>VLOOKUP($A50,[7]Sheet1!$B$2:$U$70,9,FALSE)</f>
        <v>0</v>
      </c>
      <c r="P50" s="764">
        <f>VLOOKUP($A50,[7]Sheet1!$B$2:$U$70,10,FALSE)</f>
        <v>0</v>
      </c>
      <c r="Q50" s="740">
        <f t="shared" si="11"/>
        <v>16984299</v>
      </c>
      <c r="R50" s="765">
        <f>VLOOKUP($A50,[7]Sheet1!$B$2:$U$70,11,FALSE)</f>
        <v>0</v>
      </c>
      <c r="S50" s="764">
        <f>VLOOKUP($A50,[7]Sheet1!$B$2:$U$70,12,FALSE)</f>
        <v>0</v>
      </c>
      <c r="T50" s="765">
        <f>VLOOKUP($A50,[7]Sheet1!$B$2:$U$70,13,FALSE)</f>
        <v>0</v>
      </c>
      <c r="U50" s="765">
        <f>VLOOKUP($A50,[7]Sheet1!$B$2:$U$70,14,FALSE)</f>
        <v>0</v>
      </c>
      <c r="V50" s="765">
        <f>VLOOKUP($A50,[7]Sheet1!$B$2:$U$70,15,FALSE)</f>
        <v>0</v>
      </c>
      <c r="W50" s="764">
        <f>VLOOKUP($A50,[7]Sheet1!$B$2:$U$70,16,FALSE)</f>
        <v>0</v>
      </c>
      <c r="X50" s="740">
        <f t="shared" si="12"/>
        <v>0</v>
      </c>
      <c r="Y50" s="767">
        <f t="shared" si="13"/>
        <v>41.22</v>
      </c>
      <c r="Z50" s="740">
        <f t="shared" si="13"/>
        <v>16984299</v>
      </c>
      <c r="AA50" s="740">
        <f t="shared" si="14"/>
        <v>0</v>
      </c>
      <c r="AB50" s="768">
        <f t="shared" si="2"/>
        <v>0</v>
      </c>
      <c r="AC50" s="769">
        <f t="shared" si="3"/>
        <v>42.26</v>
      </c>
      <c r="AD50" s="770">
        <f t="shared" si="4"/>
        <v>42.26</v>
      </c>
      <c r="AE50" s="771">
        <f>VLOOKUP($A50,[8]Sheet1!$A$3:$H$71,4,FALSE)</f>
        <v>0</v>
      </c>
      <c r="AF50" s="771">
        <f t="shared" si="15"/>
        <v>16984299</v>
      </c>
      <c r="AG50" s="772">
        <f>VLOOKUP($A50,[7]Sheet1!$B$2:$U$70,17,FALSE)</f>
        <v>0.02</v>
      </c>
      <c r="AH50" s="38">
        <f>VLOOKUP($A50,[7]Sheet1!$B$2:$U$70,18,FALSE)</f>
        <v>15942894</v>
      </c>
      <c r="AI50" s="38">
        <f>VLOOKUP($A50,[7]Sheet1!$B$2:$U$70,19,FALSE)</f>
        <v>0</v>
      </c>
      <c r="AJ50" s="38">
        <f>VLOOKUP($A50,[8]Sheet1!$A$3:$H$71,7,FALSE)</f>
        <v>0</v>
      </c>
      <c r="AK50" s="773">
        <f t="shared" si="16"/>
        <v>15942894</v>
      </c>
      <c r="AL50" s="771">
        <v>767585600</v>
      </c>
      <c r="AM50" s="771">
        <f t="shared" si="19"/>
        <v>797144700</v>
      </c>
      <c r="AN50" s="772">
        <f t="shared" si="17"/>
        <v>3.8509190375640191E-2</v>
      </c>
      <c r="AO50" s="771">
        <f t="shared" si="18"/>
        <v>797144700</v>
      </c>
      <c r="AP50" s="761">
        <f t="shared" si="6"/>
        <v>0.02</v>
      </c>
      <c r="AQ50" s="761">
        <f t="shared" si="7"/>
        <v>0</v>
      </c>
      <c r="AR50" s="771">
        <f>VLOOKUP($A50,[7]Sheet1!$B$2:$U$70,20,FALSE)</f>
        <v>72527</v>
      </c>
      <c r="AS50" s="771">
        <f t="shared" si="8"/>
        <v>32999720</v>
      </c>
      <c r="AT50" s="771">
        <f>ROUND(AS50/'3_Levels 1&amp;2'!C50,2)</f>
        <v>4346.07</v>
      </c>
    </row>
    <row r="51" spans="1:46" ht="15" customHeight="1" x14ac:dyDescent="0.2">
      <c r="A51" s="742">
        <v>45</v>
      </c>
      <c r="B51" s="775" t="s">
        <v>175</v>
      </c>
      <c r="C51" s="744">
        <f>VLOOKUP($A51,[6]Breakout!$A$4:$E$72,3,FALSE)</f>
        <v>1668706203</v>
      </c>
      <c r="D51" s="744">
        <f>VLOOKUP($A51,[6]Breakout!$A$4:$E$72,4,FALSE)</f>
        <v>100232717</v>
      </c>
      <c r="E51" s="744">
        <f t="shared" si="9"/>
        <v>1568473486</v>
      </c>
      <c r="F51" s="744">
        <v>1424741438</v>
      </c>
      <c r="G51" s="776">
        <f t="shared" si="10"/>
        <v>0.10088289998904348</v>
      </c>
      <c r="H51" s="777">
        <f t="shared" si="1"/>
        <v>1567215581.8000002</v>
      </c>
      <c r="I51" s="778">
        <f>VLOOKUP($A51,[7]Sheet1!$B$2:$U$70,3,FALSE)</f>
        <v>4.12</v>
      </c>
      <c r="J51" s="779">
        <f>VLOOKUP($A51,[7]Sheet1!$B$2:$U$70,4,FALSE)</f>
        <v>6452788</v>
      </c>
      <c r="K51" s="778">
        <f>VLOOKUP($A51,[7]Sheet1!$B$2:$U$70,5,FALSE)</f>
        <v>41.71</v>
      </c>
      <c r="L51" s="779">
        <f>VLOOKUP($A51,[7]Sheet1!$B$2:$U$70,6,FALSE)</f>
        <v>71169173</v>
      </c>
      <c r="M51" s="780">
        <f>VLOOKUP($A51,[7]Sheet1!$B$2:$U$70,7,FALSE)</f>
        <v>0</v>
      </c>
      <c r="N51" s="780">
        <f>VLOOKUP($A51,[7]Sheet1!$B$2:$U$70,8,FALSE)</f>
        <v>0</v>
      </c>
      <c r="O51" s="780">
        <f>VLOOKUP($A51,[7]Sheet1!$B$2:$U$70,9,FALSE)</f>
        <v>0</v>
      </c>
      <c r="P51" s="779">
        <f>VLOOKUP($A51,[7]Sheet1!$B$2:$U$70,10,FALSE)</f>
        <v>0</v>
      </c>
      <c r="Q51" s="744">
        <f t="shared" si="11"/>
        <v>77621961</v>
      </c>
      <c r="R51" s="780">
        <f>VLOOKUP($A51,[7]Sheet1!$B$2:$U$70,11,FALSE)</f>
        <v>4.92</v>
      </c>
      <c r="S51" s="779">
        <f>VLOOKUP($A51,[7]Sheet1!$B$2:$U$70,12,FALSE)</f>
        <v>7847640</v>
      </c>
      <c r="T51" s="780">
        <f>VLOOKUP($A51,[7]Sheet1!$B$2:$U$70,13,FALSE)</f>
        <v>0</v>
      </c>
      <c r="U51" s="780">
        <f>VLOOKUP($A51,[7]Sheet1!$B$2:$U$70,14,FALSE)</f>
        <v>0</v>
      </c>
      <c r="V51" s="780">
        <f>VLOOKUP($A51,[7]Sheet1!$B$2:$U$70,15,FALSE)</f>
        <v>0</v>
      </c>
      <c r="W51" s="779">
        <f>VLOOKUP($A51,[7]Sheet1!$B$2:$U$70,16,FALSE)</f>
        <v>0</v>
      </c>
      <c r="X51" s="744">
        <f t="shared" si="12"/>
        <v>7847640</v>
      </c>
      <c r="Y51" s="781">
        <f t="shared" si="13"/>
        <v>50.75</v>
      </c>
      <c r="Z51" s="744">
        <f t="shared" si="13"/>
        <v>85469601</v>
      </c>
      <c r="AA51" s="744">
        <f t="shared" si="14"/>
        <v>0</v>
      </c>
      <c r="AB51" s="782">
        <f t="shared" si="2"/>
        <v>5</v>
      </c>
      <c r="AC51" s="783">
        <f t="shared" si="3"/>
        <v>49.49</v>
      </c>
      <c r="AD51" s="784">
        <f t="shared" si="4"/>
        <v>54.49</v>
      </c>
      <c r="AE51" s="785">
        <f>VLOOKUP($A51,[8]Sheet1!$A$3:$H$71,4,FALSE)</f>
        <v>0</v>
      </c>
      <c r="AF51" s="785">
        <f t="shared" si="15"/>
        <v>85469601</v>
      </c>
      <c r="AG51" s="786">
        <f>VLOOKUP($A51,[7]Sheet1!$B$2:$U$70,17,FALSE)</f>
        <v>0.03</v>
      </c>
      <c r="AH51" s="787">
        <f>VLOOKUP($A51,[7]Sheet1!$B$2:$U$70,18,FALSE)</f>
        <v>54679348</v>
      </c>
      <c r="AI51" s="787">
        <f>VLOOKUP($A51,[7]Sheet1!$B$2:$U$70,19,FALSE)</f>
        <v>324850</v>
      </c>
      <c r="AJ51" s="787">
        <f>VLOOKUP($A51,[8]Sheet1!$A$3:$H$71,7,FALSE)</f>
        <v>0</v>
      </c>
      <c r="AK51" s="788">
        <f t="shared" si="16"/>
        <v>55004198</v>
      </c>
      <c r="AL51" s="785">
        <v>1891691533</v>
      </c>
      <c r="AM51" s="785">
        <f t="shared" si="19"/>
        <v>1833473267</v>
      </c>
      <c r="AN51" s="786">
        <f t="shared" si="17"/>
        <v>-3.0775771305416103E-2</v>
      </c>
      <c r="AO51" s="785">
        <f t="shared" si="18"/>
        <v>1833473267</v>
      </c>
      <c r="AP51" s="776">
        <f t="shared" si="6"/>
        <v>2.9822822608953806E-2</v>
      </c>
      <c r="AQ51" s="776">
        <f t="shared" si="7"/>
        <v>1.7717738559206383E-4</v>
      </c>
      <c r="AR51" s="785">
        <f>VLOOKUP($A51,[7]Sheet1!$B$2:$U$70,20,FALSE)</f>
        <v>262436</v>
      </c>
      <c r="AS51" s="785">
        <f t="shared" si="8"/>
        <v>140736235</v>
      </c>
      <c r="AT51" s="785">
        <f>ROUND(AS51/'3_Levels 1&amp;2'!C51,2)</f>
        <v>15053.61</v>
      </c>
    </row>
    <row r="52" spans="1:46" s="404" customFormat="1" ht="15" customHeight="1" x14ac:dyDescent="0.2">
      <c r="A52" s="738">
        <v>46</v>
      </c>
      <c r="B52" s="760" t="s">
        <v>176</v>
      </c>
      <c r="C52" s="740">
        <f>VLOOKUP($A52,[6]Breakout!$A$4:$E$72,3,FALSE)</f>
        <v>65766030</v>
      </c>
      <c r="D52" s="740">
        <f>VLOOKUP($A52,[6]Breakout!$A$4:$E$72,4,FALSE)</f>
        <v>18183777</v>
      </c>
      <c r="E52" s="740">
        <f t="shared" si="9"/>
        <v>47582253</v>
      </c>
      <c r="F52" s="740">
        <v>47131910</v>
      </c>
      <c r="G52" s="761">
        <f t="shared" si="10"/>
        <v>9.5549490780237854E-3</v>
      </c>
      <c r="H52" s="762">
        <f t="shared" si="1"/>
        <v>47582253</v>
      </c>
      <c r="I52" s="763">
        <f>VLOOKUP($A52,[7]Sheet1!$B$2:$U$70,3,FALSE)</f>
        <v>3.38</v>
      </c>
      <c r="J52" s="764">
        <f>VLOOKUP($A52,[7]Sheet1!$B$2:$U$70,4,FALSE)</f>
        <v>157416</v>
      </c>
      <c r="K52" s="763">
        <f>VLOOKUP($A52,[7]Sheet1!$B$2:$U$70,5,FALSE)</f>
        <v>39.880000000000003</v>
      </c>
      <c r="L52" s="764">
        <f>VLOOKUP($A52,[7]Sheet1!$B$2:$U$70,6,FALSE)</f>
        <v>1903242</v>
      </c>
      <c r="M52" s="765">
        <f>VLOOKUP($A52,[7]Sheet1!$B$2:$U$70,7,FALSE)</f>
        <v>0</v>
      </c>
      <c r="N52" s="765">
        <f>VLOOKUP($A52,[7]Sheet1!$B$2:$U$70,8,FALSE)</f>
        <v>0</v>
      </c>
      <c r="O52" s="765">
        <f>VLOOKUP($A52,[7]Sheet1!$B$2:$U$70,9,FALSE)</f>
        <v>0</v>
      </c>
      <c r="P52" s="764">
        <f>VLOOKUP($A52,[7]Sheet1!$B$2:$U$70,10,FALSE)</f>
        <v>0</v>
      </c>
      <c r="Q52" s="740">
        <f t="shared" si="11"/>
        <v>2060658</v>
      </c>
      <c r="R52" s="766">
        <f>VLOOKUP($A52,[7]Sheet1!$B$2:$U$70,11,FALSE)</f>
        <v>0</v>
      </c>
      <c r="S52" s="764">
        <f>VLOOKUP($A52,[7]Sheet1!$B$2:$U$70,12,FALSE)</f>
        <v>0</v>
      </c>
      <c r="T52" s="765">
        <f>VLOOKUP($A52,[7]Sheet1!$B$2:$U$70,13,FALSE)</f>
        <v>0</v>
      </c>
      <c r="U52" s="765">
        <f>VLOOKUP($A52,[7]Sheet1!$B$2:$U$70,14,FALSE)</f>
        <v>0</v>
      </c>
      <c r="V52" s="765">
        <f>VLOOKUP($A52,[7]Sheet1!$B$2:$U$70,15,FALSE)</f>
        <v>0</v>
      </c>
      <c r="W52" s="764">
        <f>VLOOKUP($A52,[7]Sheet1!$B$2:$U$70,16,FALSE)</f>
        <v>0</v>
      </c>
      <c r="X52" s="740">
        <f t="shared" si="12"/>
        <v>0</v>
      </c>
      <c r="Y52" s="767">
        <f t="shared" si="13"/>
        <v>43.260000000000005</v>
      </c>
      <c r="Z52" s="740">
        <f t="shared" si="13"/>
        <v>2060658</v>
      </c>
      <c r="AA52" s="740">
        <f t="shared" si="14"/>
        <v>0</v>
      </c>
      <c r="AB52" s="768">
        <f t="shared" si="2"/>
        <v>0</v>
      </c>
      <c r="AC52" s="769">
        <f t="shared" si="3"/>
        <v>43.31</v>
      </c>
      <c r="AD52" s="770">
        <f t="shared" si="4"/>
        <v>43.31</v>
      </c>
      <c r="AE52" s="771">
        <f>VLOOKUP($A52,[8]Sheet1!$A$3:$H$71,4,FALSE)</f>
        <v>0</v>
      </c>
      <c r="AF52" s="771">
        <f t="shared" si="15"/>
        <v>2060658</v>
      </c>
      <c r="AG52" s="772">
        <f>VLOOKUP($A52,[7]Sheet1!$B$2:$U$70,17,FALSE)</f>
        <v>0.02</v>
      </c>
      <c r="AH52" s="38">
        <f>VLOOKUP($A52,[7]Sheet1!$B$2:$U$70,18,FALSE)</f>
        <v>1618375</v>
      </c>
      <c r="AI52" s="38">
        <f>VLOOKUP($A52,[7]Sheet1!$B$2:$U$70,19,FALSE)</f>
        <v>0</v>
      </c>
      <c r="AJ52" s="38">
        <f>VLOOKUP($A52,[8]Sheet1!$A$3:$H$71,7,FALSE)</f>
        <v>0</v>
      </c>
      <c r="AK52" s="773">
        <f t="shared" si="16"/>
        <v>1618375</v>
      </c>
      <c r="AL52" s="771">
        <v>77227600</v>
      </c>
      <c r="AM52" s="771">
        <f t="shared" si="19"/>
        <v>80918750</v>
      </c>
      <c r="AN52" s="774">
        <f t="shared" si="17"/>
        <v>4.7795736239375559E-2</v>
      </c>
      <c r="AO52" s="789">
        <f t="shared" si="18"/>
        <v>80918750</v>
      </c>
      <c r="AP52" s="761">
        <f t="shared" si="6"/>
        <v>0.02</v>
      </c>
      <c r="AQ52" s="761">
        <f t="shared" si="7"/>
        <v>0</v>
      </c>
      <c r="AR52" s="771">
        <f>VLOOKUP($A52,[7]Sheet1!$B$2:$U$70,20,FALSE)</f>
        <v>31085</v>
      </c>
      <c r="AS52" s="771">
        <f t="shared" si="8"/>
        <v>3710118</v>
      </c>
      <c r="AT52" s="771">
        <f>ROUND(AS52/'3_Levels 1&amp;2'!C52,2)</f>
        <v>3176.47</v>
      </c>
    </row>
    <row r="53" spans="1:46" ht="15" customHeight="1" x14ac:dyDescent="0.2">
      <c r="A53" s="738">
        <v>47</v>
      </c>
      <c r="B53" s="760" t="s">
        <v>177</v>
      </c>
      <c r="C53" s="740">
        <f>VLOOKUP($A53,[6]Breakout!$A$4:$E$72,3,FALSE)</f>
        <v>698481031</v>
      </c>
      <c r="D53" s="740">
        <f>VLOOKUP($A53,[6]Breakout!$A$4:$E$72,4,FALSE)</f>
        <v>41550480</v>
      </c>
      <c r="E53" s="740">
        <f t="shared" si="9"/>
        <v>656930551</v>
      </c>
      <c r="F53" s="740">
        <v>600306530</v>
      </c>
      <c r="G53" s="761">
        <f t="shared" si="10"/>
        <v>9.4325179171380988E-2</v>
      </c>
      <c r="H53" s="762">
        <f t="shared" si="1"/>
        <v>656930551</v>
      </c>
      <c r="I53" s="763">
        <f>VLOOKUP($A53,[7]Sheet1!$B$2:$U$70,3,FALSE)</f>
        <v>3.85</v>
      </c>
      <c r="J53" s="764">
        <f>VLOOKUP($A53,[7]Sheet1!$B$2:$U$70,4,FALSE)</f>
        <v>2596548</v>
      </c>
      <c r="K53" s="763">
        <f>VLOOKUP($A53,[7]Sheet1!$B$2:$U$70,5,FALSE)</f>
        <v>30.45</v>
      </c>
      <c r="L53" s="764">
        <f>VLOOKUP($A53,[7]Sheet1!$B$2:$U$70,6,FALSE)</f>
        <v>20699475</v>
      </c>
      <c r="M53" s="765">
        <f>VLOOKUP($A53,[7]Sheet1!$B$2:$U$70,7,FALSE)</f>
        <v>0</v>
      </c>
      <c r="N53" s="765">
        <f>VLOOKUP($A53,[7]Sheet1!$B$2:$U$70,8,FALSE)</f>
        <v>0</v>
      </c>
      <c r="O53" s="765">
        <f>VLOOKUP($A53,[7]Sheet1!$B$2:$U$70,9,FALSE)</f>
        <v>0</v>
      </c>
      <c r="P53" s="764">
        <f>VLOOKUP($A53,[7]Sheet1!$B$2:$U$70,10,FALSE)</f>
        <v>0</v>
      </c>
      <c r="Q53" s="740">
        <f t="shared" si="11"/>
        <v>23296023</v>
      </c>
      <c r="R53" s="765">
        <f>VLOOKUP($A53,[7]Sheet1!$B$2:$U$70,11,FALSE)</f>
        <v>10</v>
      </c>
      <c r="S53" s="764">
        <f>VLOOKUP($A53,[7]Sheet1!$B$2:$U$70,12,FALSE)</f>
        <v>6577388</v>
      </c>
      <c r="T53" s="765">
        <f>VLOOKUP($A53,[7]Sheet1!$B$2:$U$70,13,FALSE)</f>
        <v>0</v>
      </c>
      <c r="U53" s="765">
        <f>VLOOKUP($A53,[7]Sheet1!$B$2:$U$70,14,FALSE)</f>
        <v>0</v>
      </c>
      <c r="V53" s="765">
        <f>VLOOKUP($A53,[7]Sheet1!$B$2:$U$70,15,FALSE)</f>
        <v>0</v>
      </c>
      <c r="W53" s="764">
        <f>VLOOKUP($A53,[7]Sheet1!$B$2:$U$70,16,FALSE)</f>
        <v>0</v>
      </c>
      <c r="X53" s="740">
        <f t="shared" si="12"/>
        <v>6577388</v>
      </c>
      <c r="Y53" s="767">
        <f t="shared" si="13"/>
        <v>44.3</v>
      </c>
      <c r="Z53" s="740">
        <f t="shared" si="13"/>
        <v>29873411</v>
      </c>
      <c r="AA53" s="740">
        <f t="shared" si="14"/>
        <v>0</v>
      </c>
      <c r="AB53" s="768">
        <f t="shared" si="2"/>
        <v>10.01</v>
      </c>
      <c r="AC53" s="769">
        <f t="shared" si="3"/>
        <v>35.46</v>
      </c>
      <c r="AD53" s="770">
        <f t="shared" si="4"/>
        <v>45.47</v>
      </c>
      <c r="AE53" s="771">
        <f>VLOOKUP($A53,[8]Sheet1!$A$3:$H$71,4,FALSE)</f>
        <v>0</v>
      </c>
      <c r="AF53" s="771">
        <f t="shared" si="15"/>
        <v>29873411</v>
      </c>
      <c r="AG53" s="772">
        <f>VLOOKUP($A53,[7]Sheet1!$B$2:$U$70,17,FALSE)</f>
        <v>2.5000000000000001E-2</v>
      </c>
      <c r="AH53" s="38">
        <f>VLOOKUP($A53,[7]Sheet1!$B$2:$U$70,18,FALSE)</f>
        <v>24051610</v>
      </c>
      <c r="AI53" s="38">
        <f>VLOOKUP($A53,[7]Sheet1!$B$2:$U$70,19,FALSE)</f>
        <v>0</v>
      </c>
      <c r="AJ53" s="38">
        <f>VLOOKUP($A53,[8]Sheet1!$A$3:$H$71,7,FALSE)</f>
        <v>0</v>
      </c>
      <c r="AK53" s="773">
        <f t="shared" si="16"/>
        <v>24051610</v>
      </c>
      <c r="AL53" s="771">
        <v>1032251120</v>
      </c>
      <c r="AM53" s="771">
        <f t="shared" si="19"/>
        <v>962064400</v>
      </c>
      <c r="AN53" s="774">
        <f t="shared" si="17"/>
        <v>-6.7993842428574938E-2</v>
      </c>
      <c r="AO53" s="789">
        <f t="shared" si="18"/>
        <v>962064400</v>
      </c>
      <c r="AP53" s="761">
        <f t="shared" si="6"/>
        <v>2.5000000000000001E-2</v>
      </c>
      <c r="AQ53" s="761">
        <f t="shared" si="7"/>
        <v>0</v>
      </c>
      <c r="AR53" s="771">
        <f>VLOOKUP($A53,[7]Sheet1!$B$2:$U$70,20,FALSE)</f>
        <v>80898</v>
      </c>
      <c r="AS53" s="771">
        <f t="shared" si="8"/>
        <v>54005919</v>
      </c>
      <c r="AT53" s="771">
        <f>ROUND(AS53/'3_Levels 1&amp;2'!C53,2)</f>
        <v>16068.41</v>
      </c>
    </row>
    <row r="54" spans="1:46" ht="15" customHeight="1" x14ac:dyDescent="0.2">
      <c r="A54" s="738">
        <v>48</v>
      </c>
      <c r="B54" s="760" t="s">
        <v>178</v>
      </c>
      <c r="C54" s="740">
        <f>VLOOKUP($A54,[6]Breakout!$A$4:$E$72,3,FALSE)</f>
        <v>537158417</v>
      </c>
      <c r="D54" s="740">
        <f>VLOOKUP($A54,[6]Breakout!$A$4:$E$72,4,FALSE)</f>
        <v>82518349</v>
      </c>
      <c r="E54" s="740">
        <f t="shared" si="9"/>
        <v>454640068</v>
      </c>
      <c r="F54" s="740">
        <v>450710689</v>
      </c>
      <c r="G54" s="761">
        <f t="shared" si="10"/>
        <v>8.7181846268571637E-3</v>
      </c>
      <c r="H54" s="762">
        <f t="shared" si="1"/>
        <v>454640068</v>
      </c>
      <c r="I54" s="763">
        <f>VLOOKUP($A54,[7]Sheet1!$B$2:$U$70,3,FALSE)</f>
        <v>3.65</v>
      </c>
      <c r="J54" s="764">
        <f>VLOOKUP($A54,[7]Sheet1!$B$2:$U$70,4,FALSE)</f>
        <v>1729271</v>
      </c>
      <c r="K54" s="763">
        <f>VLOOKUP($A54,[7]Sheet1!$B$2:$U$70,5,FALSE)</f>
        <v>25.66</v>
      </c>
      <c r="L54" s="764">
        <f>VLOOKUP($A54,[7]Sheet1!$B$2:$U$70,6,FALSE)</f>
        <v>11372550</v>
      </c>
      <c r="M54" s="765">
        <f>VLOOKUP($A54,[7]Sheet1!$B$2:$U$70,7,FALSE)</f>
        <v>0</v>
      </c>
      <c r="N54" s="765">
        <f>VLOOKUP($A54,[7]Sheet1!$B$2:$U$70,8,FALSE)</f>
        <v>0</v>
      </c>
      <c r="O54" s="765">
        <f>VLOOKUP($A54,[7]Sheet1!$B$2:$U$70,9,FALSE)</f>
        <v>0</v>
      </c>
      <c r="P54" s="764">
        <f>VLOOKUP($A54,[7]Sheet1!$B$2:$U$70,10,FALSE)</f>
        <v>0</v>
      </c>
      <c r="Q54" s="740">
        <f t="shared" si="11"/>
        <v>13101821</v>
      </c>
      <c r="R54" s="765">
        <f>VLOOKUP($A54,[7]Sheet1!$B$2:$U$70,11,FALSE)</f>
        <v>11</v>
      </c>
      <c r="S54" s="764">
        <f>VLOOKUP($A54,[7]Sheet1!$B$2:$U$70,12,FALSE)</f>
        <v>5076904</v>
      </c>
      <c r="T54" s="765">
        <f>VLOOKUP($A54,[7]Sheet1!$B$2:$U$70,13,FALSE)</f>
        <v>0</v>
      </c>
      <c r="U54" s="765">
        <f>VLOOKUP($A54,[7]Sheet1!$B$2:$U$70,14,FALSE)</f>
        <v>0</v>
      </c>
      <c r="V54" s="765">
        <f>VLOOKUP($A54,[7]Sheet1!$B$2:$U$70,15,FALSE)</f>
        <v>0</v>
      </c>
      <c r="W54" s="764">
        <f>VLOOKUP($A54,[7]Sheet1!$B$2:$U$70,16,FALSE)</f>
        <v>0</v>
      </c>
      <c r="X54" s="740">
        <f t="shared" si="12"/>
        <v>5076904</v>
      </c>
      <c r="Y54" s="767">
        <f t="shared" si="13"/>
        <v>40.31</v>
      </c>
      <c r="Z54" s="740">
        <f t="shared" si="13"/>
        <v>18178725</v>
      </c>
      <c r="AA54" s="740">
        <f t="shared" si="14"/>
        <v>0</v>
      </c>
      <c r="AB54" s="768">
        <f t="shared" si="2"/>
        <v>11.17</v>
      </c>
      <c r="AC54" s="769">
        <f t="shared" si="3"/>
        <v>28.82</v>
      </c>
      <c r="AD54" s="770">
        <f t="shared" si="4"/>
        <v>39.979999999999997</v>
      </c>
      <c r="AE54" s="771">
        <f>VLOOKUP($A54,[8]Sheet1!$A$3:$H$71,4,FALSE)</f>
        <v>0</v>
      </c>
      <c r="AF54" s="771">
        <f t="shared" si="15"/>
        <v>18178725</v>
      </c>
      <c r="AG54" s="772">
        <f>VLOOKUP($A54,[7]Sheet1!$B$2:$U$70,17,FALSE)</f>
        <v>2.5000000000000001E-2</v>
      </c>
      <c r="AH54" s="38">
        <f>VLOOKUP($A54,[7]Sheet1!$B$2:$U$70,18,FALSE)</f>
        <v>30140604</v>
      </c>
      <c r="AI54" s="38">
        <f>VLOOKUP($A54,[7]Sheet1!$B$2:$U$70,19,FALSE)</f>
        <v>0</v>
      </c>
      <c r="AJ54" s="38">
        <f>VLOOKUP($A54,[8]Sheet1!$A$3:$H$71,7,FALSE)</f>
        <v>0</v>
      </c>
      <c r="AK54" s="773">
        <f t="shared" si="16"/>
        <v>30140604</v>
      </c>
      <c r="AL54" s="771">
        <v>1036192720</v>
      </c>
      <c r="AM54" s="771">
        <f t="shared" si="19"/>
        <v>1205624160</v>
      </c>
      <c r="AN54" s="772">
        <f t="shared" si="17"/>
        <v>0.16351344371537371</v>
      </c>
      <c r="AO54" s="771">
        <f t="shared" si="18"/>
        <v>1191621628</v>
      </c>
      <c r="AP54" s="761">
        <f t="shared" si="6"/>
        <v>2.5000000000000001E-2</v>
      </c>
      <c r="AQ54" s="761">
        <f t="shared" si="7"/>
        <v>0</v>
      </c>
      <c r="AR54" s="771">
        <f>VLOOKUP($A54,[7]Sheet1!$B$2:$U$70,20,FALSE)</f>
        <v>60317</v>
      </c>
      <c r="AS54" s="771">
        <f t="shared" si="8"/>
        <v>48379646</v>
      </c>
      <c r="AT54" s="771">
        <f>ROUND(AS54/'3_Levels 1&amp;2'!C54,2)</f>
        <v>8740.68</v>
      </c>
    </row>
    <row r="55" spans="1:46" ht="15" customHeight="1" x14ac:dyDescent="0.2">
      <c r="A55" s="738">
        <v>49</v>
      </c>
      <c r="B55" s="760" t="s">
        <v>179</v>
      </c>
      <c r="C55" s="740">
        <f>VLOOKUP($A55,[6]Breakout!$A$4:$E$72,3,FALSE)</f>
        <v>804155550</v>
      </c>
      <c r="D55" s="740">
        <f>VLOOKUP($A55,[6]Breakout!$A$4:$E$72,4,FALSE)</f>
        <v>132833708</v>
      </c>
      <c r="E55" s="740">
        <f t="shared" si="9"/>
        <v>671321842</v>
      </c>
      <c r="F55" s="740">
        <v>646362712</v>
      </c>
      <c r="G55" s="761">
        <f t="shared" si="10"/>
        <v>3.8614742986597284E-2</v>
      </c>
      <c r="H55" s="762">
        <f t="shared" si="1"/>
        <v>671321842</v>
      </c>
      <c r="I55" s="763">
        <f>VLOOKUP($A55,[7]Sheet1!$B$2:$U$70,3,FALSE)</f>
        <v>4.37</v>
      </c>
      <c r="J55" s="764">
        <f>VLOOKUP($A55,[7]Sheet1!$B$2:$U$70,4,FALSE)</f>
        <v>2846602</v>
      </c>
      <c r="K55" s="763">
        <f>VLOOKUP($A55,[7]Sheet1!$B$2:$U$70,5,FALSE)</f>
        <v>16.149999999999999</v>
      </c>
      <c r="L55" s="764">
        <f>VLOOKUP($A55,[7]Sheet1!$B$2:$U$70,6,FALSE)</f>
        <v>10520124</v>
      </c>
      <c r="M55" s="765">
        <f>VLOOKUP($A55,[7]Sheet1!$B$2:$U$70,7,FALSE)</f>
        <v>0</v>
      </c>
      <c r="N55" s="765">
        <f>VLOOKUP($A55,[7]Sheet1!$B$2:$U$70,8,FALSE)</f>
        <v>0</v>
      </c>
      <c r="O55" s="765">
        <f>VLOOKUP($A55,[7]Sheet1!$B$2:$U$70,9,FALSE)</f>
        <v>0</v>
      </c>
      <c r="P55" s="764">
        <f>VLOOKUP($A55,[7]Sheet1!$B$2:$U$70,10,FALSE)</f>
        <v>0</v>
      </c>
      <c r="Q55" s="740">
        <f t="shared" si="11"/>
        <v>13366726</v>
      </c>
      <c r="R55" s="765">
        <f>VLOOKUP($A55,[7]Sheet1!$B$2:$U$70,11,FALSE)</f>
        <v>0</v>
      </c>
      <c r="S55" s="764">
        <f>VLOOKUP($A55,[7]Sheet1!$B$2:$U$70,12,FALSE)</f>
        <v>0</v>
      </c>
      <c r="T55" s="765">
        <f>VLOOKUP($A55,[7]Sheet1!$B$2:$U$70,13,FALSE)</f>
        <v>0</v>
      </c>
      <c r="U55" s="765">
        <f>VLOOKUP($A55,[7]Sheet1!$B$2:$U$70,14,FALSE)</f>
        <v>0</v>
      </c>
      <c r="V55" s="765">
        <f>VLOOKUP($A55,[7]Sheet1!$B$2:$U$70,15,FALSE)</f>
        <v>0</v>
      </c>
      <c r="W55" s="764">
        <f>VLOOKUP($A55,[7]Sheet1!$B$2:$U$70,16,FALSE)</f>
        <v>0</v>
      </c>
      <c r="X55" s="740">
        <f t="shared" si="12"/>
        <v>0</v>
      </c>
      <c r="Y55" s="767">
        <f t="shared" si="13"/>
        <v>20.52</v>
      </c>
      <c r="Z55" s="740">
        <f t="shared" si="13"/>
        <v>13366726</v>
      </c>
      <c r="AA55" s="740">
        <f t="shared" si="14"/>
        <v>0</v>
      </c>
      <c r="AB55" s="768">
        <f t="shared" si="2"/>
        <v>0</v>
      </c>
      <c r="AC55" s="769">
        <f t="shared" si="3"/>
        <v>19.91</v>
      </c>
      <c r="AD55" s="770">
        <f t="shared" si="4"/>
        <v>19.91</v>
      </c>
      <c r="AE55" s="771">
        <f>VLOOKUP($A55,[8]Sheet1!$A$3:$H$71,4,FALSE)</f>
        <v>0</v>
      </c>
      <c r="AF55" s="771">
        <f t="shared" si="15"/>
        <v>13366726</v>
      </c>
      <c r="AG55" s="772">
        <f>VLOOKUP($A55,[7]Sheet1!$B$2:$U$70,17,FALSE)</f>
        <v>0.02</v>
      </c>
      <c r="AH55" s="38">
        <f>VLOOKUP($A55,[7]Sheet1!$B$2:$U$70,18,FALSE)</f>
        <v>24331172</v>
      </c>
      <c r="AI55" s="38">
        <f>VLOOKUP($A55,[7]Sheet1!$B$2:$U$70,19,FALSE)</f>
        <v>0</v>
      </c>
      <c r="AJ55" s="38">
        <f>VLOOKUP($A55,[8]Sheet1!$A$3:$H$71,7,FALSE)</f>
        <v>325468</v>
      </c>
      <c r="AK55" s="773">
        <f t="shared" si="16"/>
        <v>24656640</v>
      </c>
      <c r="AL55" s="771">
        <v>1178539850</v>
      </c>
      <c r="AM55" s="771">
        <f t="shared" si="19"/>
        <v>1232832000</v>
      </c>
      <c r="AN55" s="772">
        <f t="shared" si="17"/>
        <v>4.6067300991137462E-2</v>
      </c>
      <c r="AO55" s="771">
        <f t="shared" si="18"/>
        <v>1232832000</v>
      </c>
      <c r="AP55" s="761">
        <f t="shared" si="6"/>
        <v>1.9735999714478532E-2</v>
      </c>
      <c r="AQ55" s="761">
        <f t="shared" si="7"/>
        <v>0</v>
      </c>
      <c r="AR55" s="771">
        <f>VLOOKUP($A55,[7]Sheet1!$B$2:$U$70,20,FALSE)</f>
        <v>592395</v>
      </c>
      <c r="AS55" s="771">
        <f t="shared" si="8"/>
        <v>38615761</v>
      </c>
      <c r="AT55" s="771">
        <f>ROUND(AS55/'3_Levels 1&amp;2'!C55,2)</f>
        <v>3027.5</v>
      </c>
    </row>
    <row r="56" spans="1:46" ht="15" customHeight="1" x14ac:dyDescent="0.2">
      <c r="A56" s="742">
        <v>50</v>
      </c>
      <c r="B56" s="775" t="s">
        <v>180</v>
      </c>
      <c r="C56" s="744">
        <f>VLOOKUP($A56,[6]Breakout!$A$4:$E$72,3,FALSE)</f>
        <v>486367337</v>
      </c>
      <c r="D56" s="744">
        <f>VLOOKUP($A56,[6]Breakout!$A$4:$E$72,4,FALSE)</f>
        <v>90595759</v>
      </c>
      <c r="E56" s="744">
        <f t="shared" si="9"/>
        <v>395771578</v>
      </c>
      <c r="F56" s="744">
        <v>385050480</v>
      </c>
      <c r="G56" s="776">
        <f t="shared" si="10"/>
        <v>2.7843357058014835E-2</v>
      </c>
      <c r="H56" s="777">
        <f t="shared" si="1"/>
        <v>395771578</v>
      </c>
      <c r="I56" s="778">
        <f>VLOOKUP($A56,[7]Sheet1!$B$2:$U$70,3,FALSE)</f>
        <v>2.48</v>
      </c>
      <c r="J56" s="779">
        <f>VLOOKUP($A56,[7]Sheet1!$B$2:$U$70,4,FALSE)</f>
        <v>970431</v>
      </c>
      <c r="K56" s="778">
        <f>VLOOKUP($A56,[7]Sheet1!$B$2:$U$70,5,FALSE)</f>
        <v>9.5299999999999994</v>
      </c>
      <c r="L56" s="779">
        <f>VLOOKUP($A56,[7]Sheet1!$B$2:$U$70,6,FALSE)</f>
        <v>3728855</v>
      </c>
      <c r="M56" s="780">
        <f>VLOOKUP($A56,[7]Sheet1!$B$2:$U$70,7,FALSE)</f>
        <v>0</v>
      </c>
      <c r="N56" s="780">
        <f>VLOOKUP($A56,[7]Sheet1!$B$2:$U$70,8,FALSE)</f>
        <v>0</v>
      </c>
      <c r="O56" s="780">
        <f>VLOOKUP($A56,[7]Sheet1!$B$2:$U$70,9,FALSE)</f>
        <v>0</v>
      </c>
      <c r="P56" s="779">
        <f>VLOOKUP($A56,[7]Sheet1!$B$2:$U$70,10,FALSE)</f>
        <v>0</v>
      </c>
      <c r="Q56" s="744">
        <f t="shared" si="11"/>
        <v>4699286</v>
      </c>
      <c r="R56" s="780">
        <f>VLOOKUP($A56,[7]Sheet1!$B$2:$U$70,11,FALSE)</f>
        <v>21.5</v>
      </c>
      <c r="S56" s="779">
        <f>VLOOKUP($A56,[7]Sheet1!$B$2:$U$70,12,FALSE)</f>
        <v>8412534</v>
      </c>
      <c r="T56" s="780">
        <f>VLOOKUP($A56,[7]Sheet1!$B$2:$U$70,13,FALSE)</f>
        <v>0</v>
      </c>
      <c r="U56" s="780">
        <f>VLOOKUP($A56,[7]Sheet1!$B$2:$U$70,14,FALSE)</f>
        <v>0</v>
      </c>
      <c r="V56" s="780">
        <f>VLOOKUP($A56,[7]Sheet1!$B$2:$U$70,15,FALSE)</f>
        <v>0</v>
      </c>
      <c r="W56" s="779">
        <f>VLOOKUP($A56,[7]Sheet1!$B$2:$U$70,16,FALSE)</f>
        <v>0</v>
      </c>
      <c r="X56" s="744">
        <f t="shared" si="12"/>
        <v>8412534</v>
      </c>
      <c r="Y56" s="781">
        <f t="shared" si="13"/>
        <v>33.51</v>
      </c>
      <c r="Z56" s="744">
        <f t="shared" si="13"/>
        <v>13111820</v>
      </c>
      <c r="AA56" s="744">
        <f t="shared" si="14"/>
        <v>0</v>
      </c>
      <c r="AB56" s="782">
        <f t="shared" si="2"/>
        <v>21.26</v>
      </c>
      <c r="AC56" s="783">
        <f t="shared" si="3"/>
        <v>11.87</v>
      </c>
      <c r="AD56" s="784">
        <f t="shared" si="4"/>
        <v>33.130000000000003</v>
      </c>
      <c r="AE56" s="785">
        <f>VLOOKUP($A56,[8]Sheet1!$A$3:$H$71,4,FALSE)</f>
        <v>0</v>
      </c>
      <c r="AF56" s="785">
        <f t="shared" si="15"/>
        <v>13111820</v>
      </c>
      <c r="AG56" s="786">
        <f>VLOOKUP($A56,[7]Sheet1!$B$2:$U$70,17,FALSE)</f>
        <v>0.02</v>
      </c>
      <c r="AH56" s="787">
        <f>VLOOKUP($A56,[7]Sheet1!$B$2:$U$70,18,FALSE)</f>
        <v>15187953</v>
      </c>
      <c r="AI56" s="787">
        <f>VLOOKUP($A56,[7]Sheet1!$B$2:$U$70,19,FALSE)</f>
        <v>0</v>
      </c>
      <c r="AJ56" s="787">
        <f>VLOOKUP($A56,[8]Sheet1!$A$3:$H$71,7,FALSE)</f>
        <v>0</v>
      </c>
      <c r="AK56" s="788">
        <f t="shared" si="16"/>
        <v>15187953</v>
      </c>
      <c r="AL56" s="785">
        <v>805879700</v>
      </c>
      <c r="AM56" s="785">
        <f t="shared" si="19"/>
        <v>759397650</v>
      </c>
      <c r="AN56" s="786">
        <f t="shared" si="17"/>
        <v>-5.767864608079841E-2</v>
      </c>
      <c r="AO56" s="785">
        <f t="shared" si="18"/>
        <v>759397650</v>
      </c>
      <c r="AP56" s="776">
        <f t="shared" si="6"/>
        <v>0.02</v>
      </c>
      <c r="AQ56" s="776">
        <f t="shared" si="7"/>
        <v>0</v>
      </c>
      <c r="AR56" s="785">
        <f>VLOOKUP($A56,[7]Sheet1!$B$2:$U$70,20,FALSE)</f>
        <v>300487</v>
      </c>
      <c r="AS56" s="785">
        <f t="shared" si="8"/>
        <v>28600260</v>
      </c>
      <c r="AT56" s="785">
        <f>ROUND(AS56/'3_Levels 1&amp;2'!C56,2)</f>
        <v>3909.28</v>
      </c>
    </row>
    <row r="57" spans="1:46" ht="15" customHeight="1" x14ac:dyDescent="0.2">
      <c r="A57" s="738">
        <v>51</v>
      </c>
      <c r="B57" s="760" t="s">
        <v>181</v>
      </c>
      <c r="C57" s="740">
        <f>VLOOKUP($A57,[6]Breakout!$A$4:$E$72,3,FALSE)</f>
        <v>672976100</v>
      </c>
      <c r="D57" s="740">
        <f>VLOOKUP($A57,[6]Breakout!$A$4:$E$72,4,FALSE)</f>
        <v>74391236</v>
      </c>
      <c r="E57" s="740">
        <f t="shared" si="9"/>
        <v>598584864</v>
      </c>
      <c r="F57" s="740">
        <v>592836446</v>
      </c>
      <c r="G57" s="761">
        <f t="shared" si="10"/>
        <v>9.6964652540947188E-3</v>
      </c>
      <c r="H57" s="762">
        <f t="shared" si="1"/>
        <v>598584864</v>
      </c>
      <c r="I57" s="763">
        <f>VLOOKUP($A57,[7]Sheet1!$B$2:$U$70,3,FALSE)</f>
        <v>8.35</v>
      </c>
      <c r="J57" s="764">
        <f>VLOOKUP($A57,[7]Sheet1!$B$2:$U$70,4,FALSE)</f>
        <v>4765224</v>
      </c>
      <c r="K57" s="763">
        <f>VLOOKUP($A57,[7]Sheet1!$B$2:$U$70,5,FALSE)</f>
        <v>11.17</v>
      </c>
      <c r="L57" s="764">
        <f>VLOOKUP($A57,[7]Sheet1!$B$2:$U$70,6,FALSE)</f>
        <v>6376205</v>
      </c>
      <c r="M57" s="765">
        <f>VLOOKUP($A57,[7]Sheet1!$B$2:$U$70,7,FALSE)</f>
        <v>0</v>
      </c>
      <c r="N57" s="765">
        <f>VLOOKUP($A57,[7]Sheet1!$B$2:$U$70,8,FALSE)</f>
        <v>12.17</v>
      </c>
      <c r="O57" s="765">
        <f>VLOOKUP($A57,[7]Sheet1!$B$2:$U$70,9,FALSE)</f>
        <v>3</v>
      </c>
      <c r="P57" s="764">
        <f>VLOOKUP($A57,[7]Sheet1!$B$2:$U$70,10,FALSE)</f>
        <v>6809399</v>
      </c>
      <c r="Q57" s="740">
        <f t="shared" si="11"/>
        <v>17950828</v>
      </c>
      <c r="R57" s="766">
        <f>VLOOKUP($A57,[7]Sheet1!$B$2:$U$70,11,FALSE)</f>
        <v>0</v>
      </c>
      <c r="S57" s="764">
        <f>VLOOKUP($A57,[7]Sheet1!$B$2:$U$70,12,FALSE)</f>
        <v>0</v>
      </c>
      <c r="T57" s="765">
        <f>VLOOKUP($A57,[7]Sheet1!$B$2:$U$70,13,FALSE)</f>
        <v>0</v>
      </c>
      <c r="U57" s="765">
        <f>VLOOKUP($A57,[7]Sheet1!$B$2:$U$70,14,FALSE)</f>
        <v>20</v>
      </c>
      <c r="V57" s="765">
        <f>VLOOKUP($A57,[7]Sheet1!$B$2:$U$70,15,FALSE)</f>
        <v>3</v>
      </c>
      <c r="W57" s="764">
        <f>VLOOKUP($A57,[7]Sheet1!$B$2:$U$70,16,FALSE)</f>
        <v>3973455</v>
      </c>
      <c r="X57" s="740">
        <f t="shared" si="12"/>
        <v>3973455</v>
      </c>
      <c r="Y57" s="767">
        <f t="shared" si="13"/>
        <v>19.52</v>
      </c>
      <c r="Z57" s="740">
        <f t="shared" si="13"/>
        <v>11141429</v>
      </c>
      <c r="AA57" s="740">
        <f t="shared" si="14"/>
        <v>10782854</v>
      </c>
      <c r="AB57" s="768">
        <f t="shared" si="2"/>
        <v>6.64</v>
      </c>
      <c r="AC57" s="769">
        <f t="shared" si="3"/>
        <v>29.99</v>
      </c>
      <c r="AD57" s="770">
        <f t="shared" si="4"/>
        <v>36.630000000000003</v>
      </c>
      <c r="AE57" s="771">
        <f>VLOOKUP($A57,[8]Sheet1!$A$3:$H$71,4,FALSE)</f>
        <v>0</v>
      </c>
      <c r="AF57" s="771">
        <f t="shared" si="15"/>
        <v>21924283</v>
      </c>
      <c r="AG57" s="772">
        <f>VLOOKUP($A57,[7]Sheet1!$B$2:$U$70,17,FALSE)</f>
        <v>1.7500000000000002E-2</v>
      </c>
      <c r="AH57" s="38">
        <f>VLOOKUP($A57,[7]Sheet1!$B$2:$U$70,18,FALSE)</f>
        <v>16039076</v>
      </c>
      <c r="AI57" s="38">
        <f>VLOOKUP($A57,[7]Sheet1!$B$2:$U$70,19,FALSE)</f>
        <v>0</v>
      </c>
      <c r="AJ57" s="38">
        <f>VLOOKUP($A57,[8]Sheet1!$A$3:$H$71,7,FALSE)</f>
        <v>0</v>
      </c>
      <c r="AK57" s="773">
        <f t="shared" si="16"/>
        <v>16039076</v>
      </c>
      <c r="AL57" s="771">
        <v>859572229</v>
      </c>
      <c r="AM57" s="771">
        <f t="shared" si="19"/>
        <v>916518629</v>
      </c>
      <c r="AN57" s="774">
        <f t="shared" si="17"/>
        <v>6.6249697324737553E-2</v>
      </c>
      <c r="AO57" s="789">
        <f t="shared" si="18"/>
        <v>916518629</v>
      </c>
      <c r="AP57" s="761">
        <f t="shared" si="6"/>
        <v>1.749999999181686E-2</v>
      </c>
      <c r="AQ57" s="761">
        <f t="shared" si="7"/>
        <v>0</v>
      </c>
      <c r="AR57" s="771">
        <f>VLOOKUP($A57,[7]Sheet1!$B$2:$U$70,20,FALSE)</f>
        <v>447652</v>
      </c>
      <c r="AS57" s="771">
        <f t="shared" si="8"/>
        <v>38411011</v>
      </c>
      <c r="AT57" s="771">
        <f>ROUND(AS57/'3_Levels 1&amp;2'!C57,2)</f>
        <v>4963.95</v>
      </c>
    </row>
    <row r="58" spans="1:46" ht="15" customHeight="1" x14ac:dyDescent="0.2">
      <c r="A58" s="738">
        <v>52</v>
      </c>
      <c r="B58" s="760" t="s">
        <v>182</v>
      </c>
      <c r="C58" s="740">
        <f>VLOOKUP($A58,[6]Breakout!$A$4:$E$72,3,FALSE)</f>
        <v>2662040619</v>
      </c>
      <c r="D58" s="740">
        <f>VLOOKUP($A58,[6]Breakout!$A$4:$E$72,4,FALSE)</f>
        <v>525755305</v>
      </c>
      <c r="E58" s="740">
        <f t="shared" si="9"/>
        <v>2136285314</v>
      </c>
      <c r="F58" s="740">
        <v>2069008313</v>
      </c>
      <c r="G58" s="761">
        <f t="shared" si="10"/>
        <v>3.2516544557740501E-2</v>
      </c>
      <c r="H58" s="762">
        <f t="shared" si="1"/>
        <v>2136285314</v>
      </c>
      <c r="I58" s="763">
        <f>VLOOKUP($A58,[7]Sheet1!$B$2:$U$70,3,FALSE)</f>
        <v>3.65</v>
      </c>
      <c r="J58" s="764">
        <f>VLOOKUP($A58,[7]Sheet1!$B$2:$U$70,4,FALSE)</f>
        <v>7731052</v>
      </c>
      <c r="K58" s="763">
        <f>VLOOKUP($A58,[7]Sheet1!$B$2:$U$70,5,FALSE)</f>
        <v>44.86</v>
      </c>
      <c r="L58" s="764">
        <f>VLOOKUP($A58,[7]Sheet1!$B$2:$U$70,6,FALSE)</f>
        <v>99162029</v>
      </c>
      <c r="M58" s="765">
        <f>VLOOKUP($A58,[7]Sheet1!$B$2:$U$70,7,FALSE)</f>
        <v>0</v>
      </c>
      <c r="N58" s="765">
        <f>VLOOKUP($A58,[7]Sheet1!$B$2:$U$70,8,FALSE)</f>
        <v>0</v>
      </c>
      <c r="O58" s="765">
        <f>VLOOKUP($A58,[7]Sheet1!$B$2:$U$70,9,FALSE)</f>
        <v>0</v>
      </c>
      <c r="P58" s="764">
        <f>VLOOKUP($A58,[7]Sheet1!$B$2:$U$70,10,FALSE)</f>
        <v>0</v>
      </c>
      <c r="Q58" s="740">
        <f t="shared" si="11"/>
        <v>106893081</v>
      </c>
      <c r="R58" s="765">
        <f>VLOOKUP($A58,[7]Sheet1!$B$2:$U$70,11,FALSE)</f>
        <v>15.9</v>
      </c>
      <c r="S58" s="764">
        <f>VLOOKUP($A58,[7]Sheet1!$B$2:$U$70,12,FALSE)</f>
        <v>29531382</v>
      </c>
      <c r="T58" s="765">
        <f>VLOOKUP($A58,[7]Sheet1!$B$2:$U$70,13,FALSE)</f>
        <v>0</v>
      </c>
      <c r="U58" s="765">
        <f>VLOOKUP($A58,[7]Sheet1!$B$2:$U$70,14,FALSE)</f>
        <v>0</v>
      </c>
      <c r="V58" s="765">
        <f>VLOOKUP($A58,[7]Sheet1!$B$2:$U$70,15,FALSE)</f>
        <v>0</v>
      </c>
      <c r="W58" s="764">
        <f>VLOOKUP($A58,[7]Sheet1!$B$2:$U$70,16,FALSE)</f>
        <v>0</v>
      </c>
      <c r="X58" s="740">
        <f t="shared" si="12"/>
        <v>29531382</v>
      </c>
      <c r="Y58" s="767">
        <f t="shared" si="13"/>
        <v>64.41</v>
      </c>
      <c r="Z58" s="740">
        <f t="shared" si="13"/>
        <v>136424463</v>
      </c>
      <c r="AA58" s="740">
        <f t="shared" si="14"/>
        <v>0</v>
      </c>
      <c r="AB58" s="768">
        <f t="shared" si="2"/>
        <v>13.82</v>
      </c>
      <c r="AC58" s="769">
        <f t="shared" si="3"/>
        <v>50.04</v>
      </c>
      <c r="AD58" s="770">
        <f t="shared" si="4"/>
        <v>63.86</v>
      </c>
      <c r="AE58" s="771">
        <f>VLOOKUP($A58,[8]Sheet1!$A$3:$H$71,4,FALSE)</f>
        <v>0</v>
      </c>
      <c r="AF58" s="771">
        <f t="shared" si="15"/>
        <v>136424463</v>
      </c>
      <c r="AG58" s="772">
        <f>VLOOKUP($A58,[7]Sheet1!$B$2:$U$70,17,FALSE)</f>
        <v>0.02</v>
      </c>
      <c r="AH58" s="38">
        <f>VLOOKUP($A58,[7]Sheet1!$B$2:$U$70,18,FALSE)</f>
        <v>105638734</v>
      </c>
      <c r="AI58" s="38">
        <f>VLOOKUP($A58,[7]Sheet1!$B$2:$U$70,19,FALSE)</f>
        <v>0</v>
      </c>
      <c r="AJ58" s="38">
        <f>VLOOKUP($A58,[8]Sheet1!$A$3:$H$71,7,FALSE)</f>
        <v>0</v>
      </c>
      <c r="AK58" s="773">
        <f t="shared" si="16"/>
        <v>105638734</v>
      </c>
      <c r="AL58" s="771">
        <v>5132214500</v>
      </c>
      <c r="AM58" s="771">
        <f t="shared" si="19"/>
        <v>5281936700</v>
      </c>
      <c r="AN58" s="774">
        <f t="shared" si="17"/>
        <v>2.917302073013511E-2</v>
      </c>
      <c r="AO58" s="789">
        <f t="shared" si="18"/>
        <v>5281936700</v>
      </c>
      <c r="AP58" s="761">
        <f t="shared" si="6"/>
        <v>0.02</v>
      </c>
      <c r="AQ58" s="761">
        <f t="shared" si="7"/>
        <v>0</v>
      </c>
      <c r="AR58" s="771">
        <f>VLOOKUP($A58,[7]Sheet1!$B$2:$U$70,20,FALSE)</f>
        <v>2092862</v>
      </c>
      <c r="AS58" s="771">
        <f t="shared" si="8"/>
        <v>244156059</v>
      </c>
      <c r="AT58" s="771">
        <f>ROUND(AS58/'3_Levels 1&amp;2'!C58,2)</f>
        <v>6583.69</v>
      </c>
    </row>
    <row r="59" spans="1:46" ht="15" customHeight="1" x14ac:dyDescent="0.2">
      <c r="A59" s="738">
        <v>53</v>
      </c>
      <c r="B59" s="760" t="s">
        <v>183</v>
      </c>
      <c r="C59" s="740">
        <f>VLOOKUP($A59,[6]Breakout!$A$4:$E$72,3,FALSE)</f>
        <v>813230753</v>
      </c>
      <c r="D59" s="740">
        <f>VLOOKUP($A59,[6]Breakout!$A$4:$E$72,4,FALSE)</f>
        <v>211865231</v>
      </c>
      <c r="E59" s="740">
        <f t="shared" si="9"/>
        <v>601365522</v>
      </c>
      <c r="F59" s="740">
        <v>582087471</v>
      </c>
      <c r="G59" s="761">
        <f t="shared" si="10"/>
        <v>3.3118821415072171E-2</v>
      </c>
      <c r="H59" s="762">
        <f t="shared" si="1"/>
        <v>601365522</v>
      </c>
      <c r="I59" s="763">
        <f>VLOOKUP($A59,[7]Sheet1!$B$2:$U$70,3,FALSE)</f>
        <v>4.0599999999999996</v>
      </c>
      <c r="J59" s="764">
        <f>VLOOKUP($A59,[7]Sheet1!$B$2:$U$70,4,FALSE)</f>
        <v>2490383</v>
      </c>
      <c r="K59" s="763">
        <f>VLOOKUP($A59,[7]Sheet1!$B$2:$U$70,5,FALSE)</f>
        <v>0</v>
      </c>
      <c r="L59" s="764">
        <f>VLOOKUP($A59,[7]Sheet1!$B$2:$U$70,6,FALSE)</f>
        <v>0</v>
      </c>
      <c r="M59" s="765">
        <f>VLOOKUP($A59,[7]Sheet1!$B$2:$U$70,7,FALSE)</f>
        <v>0</v>
      </c>
      <c r="N59" s="765">
        <f>VLOOKUP($A59,[7]Sheet1!$B$2:$U$70,8,FALSE)</f>
        <v>15</v>
      </c>
      <c r="O59" s="765">
        <f>VLOOKUP($A59,[7]Sheet1!$B$2:$U$70,9,FALSE)</f>
        <v>2</v>
      </c>
      <c r="P59" s="764">
        <f>VLOOKUP($A59,[7]Sheet1!$B$2:$U$70,10,FALSE)</f>
        <v>4520426</v>
      </c>
      <c r="Q59" s="740">
        <f t="shared" si="11"/>
        <v>7010809</v>
      </c>
      <c r="R59" s="765">
        <f>VLOOKUP($A59,[7]Sheet1!$B$2:$U$70,11,FALSE)</f>
        <v>0</v>
      </c>
      <c r="S59" s="764">
        <f>VLOOKUP($A59,[7]Sheet1!$B$2:$U$70,12,FALSE)</f>
        <v>0</v>
      </c>
      <c r="T59" s="765">
        <f>VLOOKUP($A59,[7]Sheet1!$B$2:$U$70,13,FALSE)</f>
        <v>0</v>
      </c>
      <c r="U59" s="765">
        <f>VLOOKUP($A59,[7]Sheet1!$B$2:$U$70,14,FALSE)</f>
        <v>13</v>
      </c>
      <c r="V59" s="765">
        <f>VLOOKUP($A59,[7]Sheet1!$B$2:$U$70,15,FALSE)</f>
        <v>2</v>
      </c>
      <c r="W59" s="764">
        <f>VLOOKUP($A59,[7]Sheet1!$B$2:$U$70,16,FALSE)</f>
        <v>463217</v>
      </c>
      <c r="X59" s="740">
        <f t="shared" si="12"/>
        <v>463217</v>
      </c>
      <c r="Y59" s="767">
        <f t="shared" si="13"/>
        <v>4.0599999999999996</v>
      </c>
      <c r="Z59" s="740">
        <f t="shared" si="13"/>
        <v>2490383</v>
      </c>
      <c r="AA59" s="740">
        <f t="shared" si="14"/>
        <v>4983643</v>
      </c>
      <c r="AB59" s="768">
        <f t="shared" si="2"/>
        <v>0.77</v>
      </c>
      <c r="AC59" s="769">
        <f t="shared" si="3"/>
        <v>11.66</v>
      </c>
      <c r="AD59" s="770">
        <f t="shared" si="4"/>
        <v>12.43</v>
      </c>
      <c r="AE59" s="771">
        <f>VLOOKUP($A59,[8]Sheet1!$A$3:$H$71,4,FALSE)</f>
        <v>0</v>
      </c>
      <c r="AF59" s="771">
        <f t="shared" si="15"/>
        <v>7474026</v>
      </c>
      <c r="AG59" s="772">
        <f>VLOOKUP($A59,[7]Sheet1!$B$2:$U$70,17,FALSE)</f>
        <v>0.02</v>
      </c>
      <c r="AH59" s="38">
        <f>VLOOKUP($A59,[7]Sheet1!$B$2:$U$70,18,FALSE)</f>
        <v>46272783</v>
      </c>
      <c r="AI59" s="38">
        <f>VLOOKUP($A59,[7]Sheet1!$B$2:$U$70,19,FALSE)</f>
        <v>1100000</v>
      </c>
      <c r="AJ59" s="38">
        <f>VLOOKUP($A59,[8]Sheet1!$A$3:$H$71,7,FALSE)</f>
        <v>0</v>
      </c>
      <c r="AK59" s="773">
        <f t="shared" si="16"/>
        <v>47372783</v>
      </c>
      <c r="AL59" s="771">
        <v>2237110500</v>
      </c>
      <c r="AM59" s="771">
        <f t="shared" si="19"/>
        <v>2368639150</v>
      </c>
      <c r="AN59" s="772">
        <f t="shared" si="17"/>
        <v>5.8793988942432658E-2</v>
      </c>
      <c r="AO59" s="771">
        <f t="shared" si="18"/>
        <v>2368639150</v>
      </c>
      <c r="AP59" s="761">
        <f t="shared" si="6"/>
        <v>1.9535598320242237E-2</v>
      </c>
      <c r="AQ59" s="761">
        <f t="shared" si="7"/>
        <v>4.6440167975776302E-4</v>
      </c>
      <c r="AR59" s="771">
        <f>VLOOKUP($A59,[7]Sheet1!$B$2:$U$70,20,FALSE)</f>
        <v>157302</v>
      </c>
      <c r="AS59" s="771">
        <f t="shared" si="8"/>
        <v>55004111</v>
      </c>
      <c r="AT59" s="771">
        <f>ROUND(AS59/'3_Levels 1&amp;2'!C59,2)</f>
        <v>2881.61</v>
      </c>
    </row>
    <row r="60" spans="1:46" ht="15" customHeight="1" x14ac:dyDescent="0.2">
      <c r="A60" s="738">
        <v>54</v>
      </c>
      <c r="B60" s="760" t="s">
        <v>184</v>
      </c>
      <c r="C60" s="740">
        <f>VLOOKUP($A60,[6]Breakout!$A$4:$E$72,3,FALSE)</f>
        <v>61453654</v>
      </c>
      <c r="D60" s="740">
        <f>VLOOKUP($A60,[6]Breakout!$A$4:$E$72,4,FALSE)</f>
        <v>5243764</v>
      </c>
      <c r="E60" s="740">
        <f t="shared" si="9"/>
        <v>56209890</v>
      </c>
      <c r="F60" s="740">
        <v>55211229</v>
      </c>
      <c r="G60" s="761">
        <f t="shared" si="10"/>
        <v>1.8088005249801632E-2</v>
      </c>
      <c r="H60" s="762">
        <f t="shared" si="1"/>
        <v>56209890</v>
      </c>
      <c r="I60" s="763">
        <f>VLOOKUP($A60,[7]Sheet1!$B$2:$U$70,3,FALSE)</f>
        <v>5.42</v>
      </c>
      <c r="J60" s="764">
        <f>VLOOKUP($A60,[7]Sheet1!$B$2:$U$70,4,FALSE)</f>
        <v>361223</v>
      </c>
      <c r="K60" s="763">
        <f>VLOOKUP($A60,[7]Sheet1!$B$2:$U$70,5,FALSE)</f>
        <v>32.28</v>
      </c>
      <c r="L60" s="764">
        <f>VLOOKUP($A60,[7]Sheet1!$B$2:$U$70,6,FALSE)</f>
        <v>1736709</v>
      </c>
      <c r="M60" s="765">
        <f>VLOOKUP($A60,[7]Sheet1!$B$2:$U$70,7,FALSE)</f>
        <v>0</v>
      </c>
      <c r="N60" s="765">
        <f>VLOOKUP($A60,[7]Sheet1!$B$2:$U$70,8,FALSE)</f>
        <v>0</v>
      </c>
      <c r="O60" s="765">
        <f>VLOOKUP($A60,[7]Sheet1!$B$2:$U$70,9,FALSE)</f>
        <v>0</v>
      </c>
      <c r="P60" s="764">
        <f>VLOOKUP($A60,[7]Sheet1!$B$2:$U$70,10,FALSE)</f>
        <v>0</v>
      </c>
      <c r="Q60" s="740">
        <f t="shared" si="11"/>
        <v>2097932</v>
      </c>
      <c r="R60" s="765">
        <f>VLOOKUP($A60,[7]Sheet1!$B$2:$U$70,11,FALSE)</f>
        <v>0</v>
      </c>
      <c r="S60" s="764">
        <f>VLOOKUP($A60,[7]Sheet1!$B$2:$U$70,12,FALSE)</f>
        <v>0</v>
      </c>
      <c r="T60" s="765">
        <f>VLOOKUP($A60,[7]Sheet1!$B$2:$U$70,13,FALSE)</f>
        <v>0</v>
      </c>
      <c r="U60" s="765">
        <f>VLOOKUP($A60,[7]Sheet1!$B$2:$U$70,14,FALSE)</f>
        <v>0</v>
      </c>
      <c r="V60" s="765">
        <f>VLOOKUP($A60,[7]Sheet1!$B$2:$U$70,15,FALSE)</f>
        <v>0</v>
      </c>
      <c r="W60" s="764">
        <f>VLOOKUP($A60,[7]Sheet1!$B$2:$U$70,16,FALSE)</f>
        <v>0</v>
      </c>
      <c r="X60" s="740">
        <f t="shared" si="12"/>
        <v>0</v>
      </c>
      <c r="Y60" s="767">
        <f t="shared" si="13"/>
        <v>37.700000000000003</v>
      </c>
      <c r="Z60" s="740">
        <f t="shared" si="13"/>
        <v>2097932</v>
      </c>
      <c r="AA60" s="740">
        <f t="shared" si="14"/>
        <v>0</v>
      </c>
      <c r="AB60" s="768">
        <f t="shared" si="2"/>
        <v>0</v>
      </c>
      <c r="AC60" s="769">
        <f t="shared" si="3"/>
        <v>37.32</v>
      </c>
      <c r="AD60" s="770">
        <f t="shared" si="4"/>
        <v>37.32</v>
      </c>
      <c r="AE60" s="771">
        <f>VLOOKUP($A60,[8]Sheet1!$A$3:$H$71,4,FALSE)</f>
        <v>0</v>
      </c>
      <c r="AF60" s="771">
        <f t="shared" si="15"/>
        <v>2097932</v>
      </c>
      <c r="AG60" s="772">
        <f>VLOOKUP($A60,[7]Sheet1!$B$2:$U$70,17,FALSE)</f>
        <v>1.4999999999999999E-2</v>
      </c>
      <c r="AH60" s="38">
        <f>VLOOKUP($A60,[7]Sheet1!$B$2:$U$70,18,FALSE)</f>
        <v>664977</v>
      </c>
      <c r="AI60" s="38">
        <f>VLOOKUP($A60,[7]Sheet1!$B$2:$U$70,19,FALSE)</f>
        <v>0</v>
      </c>
      <c r="AJ60" s="38">
        <f>VLOOKUP($A60,[8]Sheet1!$A$3:$H$71,7,FALSE)</f>
        <v>75237</v>
      </c>
      <c r="AK60" s="773">
        <f t="shared" si="16"/>
        <v>740214</v>
      </c>
      <c r="AL60" s="771">
        <v>49579733</v>
      </c>
      <c r="AM60" s="771">
        <f t="shared" si="19"/>
        <v>49347600</v>
      </c>
      <c r="AN60" s="772">
        <f t="shared" si="17"/>
        <v>-4.6820139188728585E-3</v>
      </c>
      <c r="AO60" s="771">
        <f t="shared" si="18"/>
        <v>49347600</v>
      </c>
      <c r="AP60" s="761">
        <f t="shared" si="6"/>
        <v>1.3475366583177297E-2</v>
      </c>
      <c r="AQ60" s="761">
        <f t="shared" si="7"/>
        <v>0</v>
      </c>
      <c r="AR60" s="771">
        <f>VLOOKUP($A60,[7]Sheet1!$B$2:$U$70,20,FALSE)</f>
        <v>28163</v>
      </c>
      <c r="AS60" s="771">
        <f t="shared" si="8"/>
        <v>2866309</v>
      </c>
      <c r="AT60" s="771">
        <f>ROUND(AS60/'3_Levels 1&amp;2'!C60,2)</f>
        <v>7112.43</v>
      </c>
    </row>
    <row r="61" spans="1:46" ht="15" customHeight="1" x14ac:dyDescent="0.2">
      <c r="A61" s="742">
        <v>55</v>
      </c>
      <c r="B61" s="775" t="s">
        <v>185</v>
      </c>
      <c r="C61" s="744">
        <f>VLOOKUP($A61,[6]Breakout!$A$4:$E$72,3,FALSE)</f>
        <v>1186021444</v>
      </c>
      <c r="D61" s="744">
        <f>VLOOKUP($A61,[6]Breakout!$A$4:$E$72,4,FALSE)</f>
        <v>178986935</v>
      </c>
      <c r="E61" s="744">
        <f t="shared" si="9"/>
        <v>1007034509</v>
      </c>
      <c r="F61" s="744">
        <v>948226968</v>
      </c>
      <c r="G61" s="776">
        <f t="shared" si="10"/>
        <v>6.2018422787570415E-2</v>
      </c>
      <c r="H61" s="777">
        <f t="shared" si="1"/>
        <v>1007034509</v>
      </c>
      <c r="I61" s="778">
        <f>VLOOKUP($A61,[7]Sheet1!$B$2:$U$70,3,FALSE)</f>
        <v>3.86</v>
      </c>
      <c r="J61" s="779">
        <f>VLOOKUP($A61,[7]Sheet1!$B$2:$U$70,4,FALSE)</f>
        <v>3826782</v>
      </c>
      <c r="K61" s="778">
        <f>VLOOKUP($A61,[7]Sheet1!$B$2:$U$70,5,FALSE)</f>
        <v>5.41</v>
      </c>
      <c r="L61" s="779">
        <f>VLOOKUP($A61,[7]Sheet1!$B$2:$U$70,6,FALSE)</f>
        <v>5363444</v>
      </c>
      <c r="M61" s="780">
        <f>VLOOKUP($A61,[7]Sheet1!$B$2:$U$70,7,FALSE)</f>
        <v>0</v>
      </c>
      <c r="N61" s="780">
        <f>VLOOKUP($A61,[7]Sheet1!$B$2:$U$70,8,FALSE)</f>
        <v>0</v>
      </c>
      <c r="O61" s="780">
        <f>VLOOKUP($A61,[7]Sheet1!$B$2:$U$70,9,FALSE)</f>
        <v>0</v>
      </c>
      <c r="P61" s="779">
        <f>VLOOKUP($A61,[7]Sheet1!$B$2:$U$70,10,FALSE)</f>
        <v>0</v>
      </c>
      <c r="Q61" s="744">
        <f t="shared" si="11"/>
        <v>9190226</v>
      </c>
      <c r="R61" s="780">
        <f>VLOOKUP($A61,[7]Sheet1!$B$2:$U$70,11,FALSE)</f>
        <v>0</v>
      </c>
      <c r="S61" s="779">
        <f>VLOOKUP($A61,[7]Sheet1!$B$2:$U$70,12,FALSE)</f>
        <v>0</v>
      </c>
      <c r="T61" s="780">
        <f>VLOOKUP($A61,[7]Sheet1!$B$2:$U$70,13,FALSE)</f>
        <v>0</v>
      </c>
      <c r="U61" s="780">
        <f>VLOOKUP($A61,[7]Sheet1!$B$2:$U$70,14,FALSE)</f>
        <v>0</v>
      </c>
      <c r="V61" s="780">
        <f>VLOOKUP($A61,[7]Sheet1!$B$2:$U$70,15,FALSE)</f>
        <v>0</v>
      </c>
      <c r="W61" s="779">
        <f>VLOOKUP($A61,[7]Sheet1!$B$2:$U$70,16,FALSE)</f>
        <v>0</v>
      </c>
      <c r="X61" s="744">
        <f t="shared" si="12"/>
        <v>0</v>
      </c>
      <c r="Y61" s="781">
        <f t="shared" si="13"/>
        <v>9.27</v>
      </c>
      <c r="Z61" s="744">
        <f t="shared" si="13"/>
        <v>9190226</v>
      </c>
      <c r="AA61" s="744">
        <f t="shared" si="14"/>
        <v>0</v>
      </c>
      <c r="AB61" s="782">
        <f t="shared" si="2"/>
        <v>0</v>
      </c>
      <c r="AC61" s="783">
        <f t="shared" si="3"/>
        <v>9.1300000000000008</v>
      </c>
      <c r="AD61" s="784">
        <f t="shared" si="4"/>
        <v>9.1300000000000008</v>
      </c>
      <c r="AE61" s="785">
        <f>VLOOKUP($A61,[8]Sheet1!$A$3:$H$71,4,FALSE)</f>
        <v>0</v>
      </c>
      <c r="AF61" s="785">
        <f t="shared" si="15"/>
        <v>9190226</v>
      </c>
      <c r="AG61" s="786">
        <f>VLOOKUP($A61,[7]Sheet1!$B$2:$U$70,17,FALSE)</f>
        <v>2.58E-2</v>
      </c>
      <c r="AH61" s="787">
        <f>VLOOKUP($A61,[7]Sheet1!$B$2:$U$70,18,FALSE)</f>
        <v>58128417</v>
      </c>
      <c r="AI61" s="787">
        <f>VLOOKUP($A61,[7]Sheet1!$B$2:$U$70,19,FALSE)</f>
        <v>0</v>
      </c>
      <c r="AJ61" s="787">
        <f>VLOOKUP($A61,[8]Sheet1!$A$3:$H$71,7,FALSE)</f>
        <v>0</v>
      </c>
      <c r="AK61" s="788">
        <f t="shared" si="16"/>
        <v>58128417</v>
      </c>
      <c r="AL61" s="785">
        <v>2195469457</v>
      </c>
      <c r="AM61" s="785">
        <f t="shared" si="19"/>
        <v>2253039419</v>
      </c>
      <c r="AN61" s="786">
        <f t="shared" si="17"/>
        <v>2.6222164838797846E-2</v>
      </c>
      <c r="AO61" s="785">
        <f t="shared" si="18"/>
        <v>2253039419</v>
      </c>
      <c r="AP61" s="776">
        <f t="shared" si="6"/>
        <v>2.5799999995472781E-2</v>
      </c>
      <c r="AQ61" s="776">
        <f t="shared" si="7"/>
        <v>0</v>
      </c>
      <c r="AR61" s="785">
        <f>VLOOKUP($A61,[7]Sheet1!$B$2:$U$70,20,FALSE)</f>
        <v>319118</v>
      </c>
      <c r="AS61" s="785">
        <f t="shared" si="8"/>
        <v>67637761</v>
      </c>
      <c r="AT61" s="785">
        <f>ROUND(AS61/'3_Levels 1&amp;2'!C61,2)</f>
        <v>4127.0200000000004</v>
      </c>
    </row>
    <row r="62" spans="1:46" ht="15" customHeight="1" x14ac:dyDescent="0.2">
      <c r="A62" s="738">
        <v>56</v>
      </c>
      <c r="B62" s="760" t="s">
        <v>186</v>
      </c>
      <c r="C62" s="740">
        <f>VLOOKUP($A62,[6]Breakout!$A$4:$E$72,3,FALSE)</f>
        <v>190587448</v>
      </c>
      <c r="D62" s="740">
        <f>VLOOKUP($A62,[6]Breakout!$A$4:$E$72,4,FALSE)</f>
        <v>35623343</v>
      </c>
      <c r="E62" s="740">
        <f t="shared" si="9"/>
        <v>154964105</v>
      </c>
      <c r="F62" s="740">
        <v>152980207</v>
      </c>
      <c r="G62" s="761">
        <f t="shared" si="10"/>
        <v>1.2968331256082037E-2</v>
      </c>
      <c r="H62" s="762">
        <f t="shared" si="1"/>
        <v>154964105</v>
      </c>
      <c r="I62" s="763">
        <f>VLOOKUP($A62,[7]Sheet1!$B$2:$U$70,3,FALSE)</f>
        <v>3.55</v>
      </c>
      <c r="J62" s="764">
        <f>VLOOKUP($A62,[7]Sheet1!$B$2:$U$70,4,FALSE)</f>
        <v>589340</v>
      </c>
      <c r="K62" s="763">
        <f>VLOOKUP($A62,[7]Sheet1!$B$2:$U$70,5,FALSE)</f>
        <v>15</v>
      </c>
      <c r="L62" s="764">
        <f>VLOOKUP($A62,[7]Sheet1!$B$2:$U$70,6,FALSE)</f>
        <v>2296131</v>
      </c>
      <c r="M62" s="765">
        <f>VLOOKUP($A62,[7]Sheet1!$B$2:$U$70,7,FALSE)</f>
        <v>0</v>
      </c>
      <c r="N62" s="765">
        <f>VLOOKUP($A62,[7]Sheet1!$B$2:$U$70,8,FALSE)</f>
        <v>0</v>
      </c>
      <c r="O62" s="765">
        <f>VLOOKUP($A62,[7]Sheet1!$B$2:$U$70,9,FALSE)</f>
        <v>0</v>
      </c>
      <c r="P62" s="764">
        <f>VLOOKUP($A62,[7]Sheet1!$B$2:$U$70,10,FALSE)</f>
        <v>0</v>
      </c>
      <c r="Q62" s="740">
        <f t="shared" si="11"/>
        <v>2885471</v>
      </c>
      <c r="R62" s="766">
        <f>VLOOKUP($A62,[7]Sheet1!$B$2:$U$70,11,FALSE)</f>
        <v>16.5</v>
      </c>
      <c r="S62" s="764">
        <f>VLOOKUP($A62,[7]Sheet1!$B$2:$U$70,12,FALSE)</f>
        <v>2638942</v>
      </c>
      <c r="T62" s="765">
        <f>VLOOKUP($A62,[7]Sheet1!$B$2:$U$70,13,FALSE)</f>
        <v>0</v>
      </c>
      <c r="U62" s="765">
        <f>VLOOKUP($A62,[7]Sheet1!$B$2:$U$70,14,FALSE)</f>
        <v>0</v>
      </c>
      <c r="V62" s="765">
        <f>VLOOKUP($A62,[7]Sheet1!$B$2:$U$70,15,FALSE)</f>
        <v>0</v>
      </c>
      <c r="W62" s="764">
        <f>VLOOKUP($A62,[7]Sheet1!$B$2:$U$70,16,FALSE)</f>
        <v>0</v>
      </c>
      <c r="X62" s="740">
        <f t="shared" si="12"/>
        <v>2638942</v>
      </c>
      <c r="Y62" s="767">
        <f t="shared" si="13"/>
        <v>35.049999999999997</v>
      </c>
      <c r="Z62" s="740">
        <f t="shared" si="13"/>
        <v>5524413</v>
      </c>
      <c r="AA62" s="740">
        <f t="shared" si="14"/>
        <v>0</v>
      </c>
      <c r="AB62" s="768">
        <f t="shared" si="2"/>
        <v>17.03</v>
      </c>
      <c r="AC62" s="769">
        <f t="shared" si="3"/>
        <v>18.62</v>
      </c>
      <c r="AD62" s="770">
        <f t="shared" si="4"/>
        <v>35.65</v>
      </c>
      <c r="AE62" s="771">
        <f>VLOOKUP($A62,[8]Sheet1!$A$3:$H$71,4,FALSE)</f>
        <v>0</v>
      </c>
      <c r="AF62" s="771">
        <f t="shared" si="15"/>
        <v>5524413</v>
      </c>
      <c r="AG62" s="772">
        <f>VLOOKUP($A62,[7]Sheet1!$B$2:$U$70,17,FALSE)</f>
        <v>0.03</v>
      </c>
      <c r="AH62" s="38">
        <f>VLOOKUP($A62,[7]Sheet1!$B$2:$U$70,18,FALSE)</f>
        <v>7511408</v>
      </c>
      <c r="AI62" s="38">
        <f>VLOOKUP($A62,[7]Sheet1!$B$2:$U$70,19,FALSE)</f>
        <v>0</v>
      </c>
      <c r="AJ62" s="38">
        <f>VLOOKUP($A62,[8]Sheet1!$A$3:$H$71,7,FALSE)</f>
        <v>0</v>
      </c>
      <c r="AK62" s="773">
        <f t="shared" si="16"/>
        <v>7511408</v>
      </c>
      <c r="AL62" s="771">
        <v>249312800</v>
      </c>
      <c r="AM62" s="771">
        <f t="shared" si="19"/>
        <v>250380267</v>
      </c>
      <c r="AN62" s="774">
        <f t="shared" si="17"/>
        <v>4.2816373647883302E-3</v>
      </c>
      <c r="AO62" s="789">
        <f t="shared" si="18"/>
        <v>250380267</v>
      </c>
      <c r="AP62" s="761">
        <f t="shared" si="6"/>
        <v>2.9999999960060749E-2</v>
      </c>
      <c r="AQ62" s="761">
        <f t="shared" si="7"/>
        <v>0</v>
      </c>
      <c r="AR62" s="771">
        <f>VLOOKUP($A62,[7]Sheet1!$B$2:$U$70,20,FALSE)</f>
        <v>101969</v>
      </c>
      <c r="AS62" s="771">
        <f t="shared" si="8"/>
        <v>13137790</v>
      </c>
      <c r="AT62" s="771">
        <f>ROUND(AS62/'3_Levels 1&amp;2'!C62,2)</f>
        <v>4490.0200000000004</v>
      </c>
    </row>
    <row r="63" spans="1:46" ht="15" customHeight="1" x14ac:dyDescent="0.2">
      <c r="A63" s="738">
        <v>57</v>
      </c>
      <c r="B63" s="760" t="s">
        <v>187</v>
      </c>
      <c r="C63" s="740">
        <f>VLOOKUP($A63,[6]Breakout!$A$4:$E$72,3,FALSE)</f>
        <v>405033815</v>
      </c>
      <c r="D63" s="740">
        <f>VLOOKUP($A63,[6]Breakout!$A$4:$E$72,4,FALSE)</f>
        <v>95748036</v>
      </c>
      <c r="E63" s="740">
        <f t="shared" si="9"/>
        <v>309285779</v>
      </c>
      <c r="F63" s="740">
        <v>312323359</v>
      </c>
      <c r="G63" s="761">
        <f t="shared" si="10"/>
        <v>-9.7257534938332939E-3</v>
      </c>
      <c r="H63" s="762">
        <f t="shared" si="1"/>
        <v>309285779</v>
      </c>
      <c r="I63" s="763">
        <f>VLOOKUP($A63,[7]Sheet1!$B$2:$U$70,3,FALSE)</f>
        <v>4.6500000000000004</v>
      </c>
      <c r="J63" s="764">
        <f>VLOOKUP($A63,[7]Sheet1!$B$2:$U$70,4,FALSE)</f>
        <v>1383591</v>
      </c>
      <c r="K63" s="763">
        <f>VLOOKUP($A63,[7]Sheet1!$B$2:$U$70,5,FALSE)</f>
        <v>35</v>
      </c>
      <c r="L63" s="764">
        <f>VLOOKUP($A63,[7]Sheet1!$B$2:$U$70,6,FALSE)</f>
        <v>10414041</v>
      </c>
      <c r="M63" s="765">
        <f>VLOOKUP($A63,[7]Sheet1!$B$2:$U$70,7,FALSE)</f>
        <v>0</v>
      </c>
      <c r="N63" s="765">
        <f>VLOOKUP($A63,[7]Sheet1!$B$2:$U$70,8,FALSE)</f>
        <v>0</v>
      </c>
      <c r="O63" s="765">
        <f>VLOOKUP($A63,[7]Sheet1!$B$2:$U$70,9,FALSE)</f>
        <v>0</v>
      </c>
      <c r="P63" s="764">
        <f>VLOOKUP($A63,[7]Sheet1!$B$2:$U$70,10,FALSE)</f>
        <v>0</v>
      </c>
      <c r="Q63" s="740">
        <f t="shared" si="11"/>
        <v>11797632</v>
      </c>
      <c r="R63" s="765">
        <f>VLOOKUP($A63,[7]Sheet1!$B$2:$U$70,11,FALSE)</f>
        <v>0</v>
      </c>
      <c r="S63" s="764">
        <f>VLOOKUP($A63,[7]Sheet1!$B$2:$U$70,12,FALSE)</f>
        <v>0</v>
      </c>
      <c r="T63" s="765">
        <f>VLOOKUP($A63,[7]Sheet1!$B$2:$U$70,13,FALSE)</f>
        <v>0</v>
      </c>
      <c r="U63" s="765">
        <f>VLOOKUP($A63,[7]Sheet1!$B$2:$U$70,14,FALSE)</f>
        <v>0</v>
      </c>
      <c r="V63" s="765">
        <f>VLOOKUP($A63,[7]Sheet1!$B$2:$U$70,15,FALSE)</f>
        <v>0</v>
      </c>
      <c r="W63" s="764">
        <f>VLOOKUP($A63,[7]Sheet1!$B$2:$U$70,16,FALSE)</f>
        <v>0</v>
      </c>
      <c r="X63" s="740">
        <f t="shared" si="12"/>
        <v>0</v>
      </c>
      <c r="Y63" s="767">
        <f t="shared" si="13"/>
        <v>39.65</v>
      </c>
      <c r="Z63" s="740">
        <f t="shared" si="13"/>
        <v>11797632</v>
      </c>
      <c r="AA63" s="740">
        <f t="shared" si="14"/>
        <v>0</v>
      </c>
      <c r="AB63" s="768">
        <f t="shared" si="2"/>
        <v>0</v>
      </c>
      <c r="AC63" s="769">
        <f t="shared" si="3"/>
        <v>38.14</v>
      </c>
      <c r="AD63" s="770">
        <f t="shared" si="4"/>
        <v>38.14</v>
      </c>
      <c r="AE63" s="771">
        <f>VLOOKUP($A63,[8]Sheet1!$A$3:$H$71,4,FALSE)</f>
        <v>0</v>
      </c>
      <c r="AF63" s="771">
        <f t="shared" si="15"/>
        <v>11797632</v>
      </c>
      <c r="AG63" s="772">
        <f>VLOOKUP($A63,[7]Sheet1!$B$2:$U$70,17,FALSE)</f>
        <v>1.4999999999999999E-2</v>
      </c>
      <c r="AH63" s="38">
        <f>VLOOKUP($A63,[7]Sheet1!$B$2:$U$70,18,FALSE)</f>
        <v>11585382</v>
      </c>
      <c r="AI63" s="38">
        <f>VLOOKUP($A63,[7]Sheet1!$B$2:$U$70,19,FALSE)</f>
        <v>0</v>
      </c>
      <c r="AJ63" s="38">
        <f>VLOOKUP($A63,[8]Sheet1!$A$3:$H$71,7,FALSE)</f>
        <v>0</v>
      </c>
      <c r="AK63" s="773">
        <f t="shared" si="16"/>
        <v>11585382</v>
      </c>
      <c r="AL63" s="771">
        <v>742825067</v>
      </c>
      <c r="AM63" s="771">
        <f t="shared" si="19"/>
        <v>772358800</v>
      </c>
      <c r="AN63" s="774">
        <f t="shared" si="17"/>
        <v>3.9758665010156423E-2</v>
      </c>
      <c r="AO63" s="789">
        <f t="shared" si="18"/>
        <v>772358800</v>
      </c>
      <c r="AP63" s="761">
        <f t="shared" si="6"/>
        <v>1.4999999999999999E-2</v>
      </c>
      <c r="AQ63" s="761">
        <f t="shared" si="7"/>
        <v>0</v>
      </c>
      <c r="AR63" s="771">
        <f>VLOOKUP($A63,[7]Sheet1!$B$2:$U$70,20,FALSE)</f>
        <v>1043134</v>
      </c>
      <c r="AS63" s="771">
        <f t="shared" si="8"/>
        <v>24426148</v>
      </c>
      <c r="AT63" s="771">
        <f>ROUND(AS63/'3_Levels 1&amp;2'!C63,2)</f>
        <v>2630.71</v>
      </c>
    </row>
    <row r="64" spans="1:46" ht="15" customHeight="1" x14ac:dyDescent="0.2">
      <c r="A64" s="738">
        <v>58</v>
      </c>
      <c r="B64" s="760" t="s">
        <v>188</v>
      </c>
      <c r="C64" s="740">
        <f>VLOOKUP($A64,[6]Breakout!$A$4:$E$72,3,FALSE)</f>
        <v>201354560</v>
      </c>
      <c r="D64" s="740">
        <f>VLOOKUP($A64,[6]Breakout!$A$4:$E$72,4,FALSE)</f>
        <v>55305102</v>
      </c>
      <c r="E64" s="740">
        <f t="shared" si="9"/>
        <v>146049458</v>
      </c>
      <c r="F64" s="740">
        <v>140347539</v>
      </c>
      <c r="G64" s="761">
        <f t="shared" si="10"/>
        <v>4.062713917627013E-2</v>
      </c>
      <c r="H64" s="762">
        <f t="shared" si="1"/>
        <v>146049458</v>
      </c>
      <c r="I64" s="763">
        <f>VLOOKUP($A64,[7]Sheet1!$B$2:$U$70,3,FALSE)</f>
        <v>4.18</v>
      </c>
      <c r="J64" s="764">
        <f>VLOOKUP($A64,[7]Sheet1!$B$2:$U$70,4,FALSE)</f>
        <v>579165</v>
      </c>
      <c r="K64" s="763">
        <f>VLOOKUP($A64,[7]Sheet1!$B$2:$U$70,5,FALSE)</f>
        <v>8.1199999999999992</v>
      </c>
      <c r="L64" s="764">
        <f>VLOOKUP($A64,[7]Sheet1!$B$2:$U$70,6,FALSE)</f>
        <v>1125077</v>
      </c>
      <c r="M64" s="765">
        <f>VLOOKUP($A64,[7]Sheet1!$B$2:$U$70,7,FALSE)</f>
        <v>0</v>
      </c>
      <c r="N64" s="765">
        <f>VLOOKUP($A64,[7]Sheet1!$B$2:$U$70,8,FALSE)</f>
        <v>19.11</v>
      </c>
      <c r="O64" s="765">
        <f>VLOOKUP($A64,[7]Sheet1!$B$2:$U$70,9,FALSE)</f>
        <v>0</v>
      </c>
      <c r="P64" s="764">
        <f>VLOOKUP($A64,[7]Sheet1!$B$2:$U$70,10,FALSE)</f>
        <v>2176620</v>
      </c>
      <c r="Q64" s="740">
        <f t="shared" si="11"/>
        <v>3880862</v>
      </c>
      <c r="R64" s="765">
        <f>VLOOKUP($A64,[7]Sheet1!$B$2:$U$70,11,FALSE)</f>
        <v>0</v>
      </c>
      <c r="S64" s="764">
        <f>VLOOKUP($A64,[7]Sheet1!$B$2:$U$70,12,FALSE)</f>
        <v>0</v>
      </c>
      <c r="T64" s="765">
        <f>VLOOKUP($A64,[7]Sheet1!$B$2:$U$70,13,FALSE)</f>
        <v>0</v>
      </c>
      <c r="U64" s="765">
        <f>VLOOKUP($A64,[7]Sheet1!$B$2:$U$70,14,FALSE)</f>
        <v>34.76</v>
      </c>
      <c r="V64" s="765">
        <f>VLOOKUP($A64,[7]Sheet1!$B$2:$U$70,15,FALSE)</f>
        <v>0</v>
      </c>
      <c r="W64" s="764">
        <f>VLOOKUP($A64,[7]Sheet1!$B$2:$U$70,16,FALSE)</f>
        <v>4061189</v>
      </c>
      <c r="X64" s="740">
        <f t="shared" si="12"/>
        <v>4061189</v>
      </c>
      <c r="Y64" s="767">
        <f t="shared" si="13"/>
        <v>12.299999999999999</v>
      </c>
      <c r="Z64" s="740">
        <f t="shared" si="13"/>
        <v>1704242</v>
      </c>
      <c r="AA64" s="740">
        <f t="shared" si="14"/>
        <v>6237809</v>
      </c>
      <c r="AB64" s="768">
        <f t="shared" si="2"/>
        <v>27.81</v>
      </c>
      <c r="AC64" s="769">
        <f t="shared" si="3"/>
        <v>26.57</v>
      </c>
      <c r="AD64" s="770">
        <f t="shared" si="4"/>
        <v>54.38</v>
      </c>
      <c r="AE64" s="771">
        <f>VLOOKUP($A64,[8]Sheet1!$A$3:$H$71,4,FALSE)</f>
        <v>0</v>
      </c>
      <c r="AF64" s="771">
        <f t="shared" si="15"/>
        <v>7942051</v>
      </c>
      <c r="AG64" s="772">
        <f>VLOOKUP($A64,[7]Sheet1!$B$2:$U$70,17,FALSE)</f>
        <v>0.02</v>
      </c>
      <c r="AH64" s="38">
        <f>VLOOKUP($A64,[7]Sheet1!$B$2:$U$70,18,FALSE)</f>
        <v>13349785</v>
      </c>
      <c r="AI64" s="38">
        <f>VLOOKUP($A64,[7]Sheet1!$B$2:$U$70,19,FALSE)</f>
        <v>0</v>
      </c>
      <c r="AJ64" s="38">
        <f>VLOOKUP($A64,[8]Sheet1!$A$3:$H$71,7,FALSE)</f>
        <v>0</v>
      </c>
      <c r="AK64" s="773">
        <f t="shared" si="16"/>
        <v>13349785</v>
      </c>
      <c r="AL64" s="771">
        <v>600589050</v>
      </c>
      <c r="AM64" s="771">
        <f t="shared" si="19"/>
        <v>667489250</v>
      </c>
      <c r="AN64" s="772">
        <f t="shared" si="17"/>
        <v>0.11139097524338813</v>
      </c>
      <c r="AO64" s="771">
        <f t="shared" si="18"/>
        <v>667489250</v>
      </c>
      <c r="AP64" s="761">
        <f t="shared" si="6"/>
        <v>0.02</v>
      </c>
      <c r="AQ64" s="761">
        <f t="shared" si="7"/>
        <v>0</v>
      </c>
      <c r="AR64" s="771">
        <f>VLOOKUP($A64,[7]Sheet1!$B$2:$U$70,20,FALSE)</f>
        <v>365521</v>
      </c>
      <c r="AS64" s="771">
        <f t="shared" si="8"/>
        <v>21657357</v>
      </c>
      <c r="AT64" s="771">
        <f>ROUND(AS64/'3_Levels 1&amp;2'!C64,2)</f>
        <v>2809.36</v>
      </c>
    </row>
    <row r="65" spans="1:46" ht="15" customHeight="1" x14ac:dyDescent="0.2">
      <c r="A65" s="738">
        <v>59</v>
      </c>
      <c r="B65" s="790" t="s">
        <v>189</v>
      </c>
      <c r="C65" s="771">
        <f>VLOOKUP($A65,[6]Breakout!$A$4:$E$72,3,FALSE)</f>
        <v>145622620</v>
      </c>
      <c r="D65" s="771">
        <f>VLOOKUP($A65,[6]Breakout!$A$4:$E$72,4,FALSE)</f>
        <v>42374660</v>
      </c>
      <c r="E65" s="740">
        <f t="shared" si="9"/>
        <v>103247960</v>
      </c>
      <c r="F65" s="740">
        <v>99650485</v>
      </c>
      <c r="G65" s="761">
        <f t="shared" si="10"/>
        <v>3.6100928159055121E-2</v>
      </c>
      <c r="H65" s="762">
        <f t="shared" si="1"/>
        <v>103247960</v>
      </c>
      <c r="I65" s="763">
        <f>VLOOKUP($A65,[7]Sheet1!$B$2:$U$70,3,FALSE)</f>
        <v>3.91</v>
      </c>
      <c r="J65" s="764">
        <f>VLOOKUP($A65,[7]Sheet1!$B$2:$U$70,4,FALSE)</f>
        <v>397338</v>
      </c>
      <c r="K65" s="763">
        <f>VLOOKUP($A65,[7]Sheet1!$B$2:$U$70,5,FALSE)</f>
        <v>15.07</v>
      </c>
      <c r="L65" s="764">
        <f>VLOOKUP($A65,[7]Sheet1!$B$2:$U$70,6,FALSE)</f>
        <v>1531429</v>
      </c>
      <c r="M65" s="765">
        <f>VLOOKUP($A65,[7]Sheet1!$B$2:$U$70,7,FALSE)</f>
        <v>0</v>
      </c>
      <c r="N65" s="765">
        <f>VLOOKUP($A65,[7]Sheet1!$B$2:$U$70,8,FALSE)</f>
        <v>5.19</v>
      </c>
      <c r="O65" s="765">
        <f>VLOOKUP($A65,[7]Sheet1!$B$2:$U$70,9,FALSE)</f>
        <v>1</v>
      </c>
      <c r="P65" s="764">
        <f>VLOOKUP($A65,[7]Sheet1!$B$2:$U$70,10,FALSE)</f>
        <v>37035</v>
      </c>
      <c r="Q65" s="740">
        <f t="shared" si="11"/>
        <v>1965802</v>
      </c>
      <c r="R65" s="765">
        <f>VLOOKUP($A65,[7]Sheet1!$B$2:$U$70,11,FALSE)</f>
        <v>0</v>
      </c>
      <c r="S65" s="764">
        <f>VLOOKUP($A65,[7]Sheet1!$B$2:$U$70,12,FALSE)</f>
        <v>0</v>
      </c>
      <c r="T65" s="765">
        <f>VLOOKUP($A65,[7]Sheet1!$B$2:$U$70,13,FALSE)</f>
        <v>0</v>
      </c>
      <c r="U65" s="765">
        <f>VLOOKUP($A65,[7]Sheet1!$B$2:$U$70,14,FALSE)</f>
        <v>14</v>
      </c>
      <c r="V65" s="765">
        <f>VLOOKUP($A65,[7]Sheet1!$B$2:$U$70,15,FALSE)</f>
        <v>1</v>
      </c>
      <c r="W65" s="764">
        <f>VLOOKUP($A65,[7]Sheet1!$B$2:$U$70,16,FALSE)</f>
        <v>1095567</v>
      </c>
      <c r="X65" s="740">
        <f t="shared" si="12"/>
        <v>1095567</v>
      </c>
      <c r="Y65" s="767">
        <f t="shared" si="13"/>
        <v>18.98</v>
      </c>
      <c r="Z65" s="740">
        <f t="shared" si="13"/>
        <v>1928767</v>
      </c>
      <c r="AA65" s="740">
        <f t="shared" si="14"/>
        <v>1132602</v>
      </c>
      <c r="AB65" s="768">
        <f t="shared" si="2"/>
        <v>10.61</v>
      </c>
      <c r="AC65" s="769">
        <f t="shared" si="3"/>
        <v>19.04</v>
      </c>
      <c r="AD65" s="770">
        <f t="shared" si="4"/>
        <v>29.65</v>
      </c>
      <c r="AE65" s="771">
        <f>VLOOKUP($A65,[8]Sheet1!$A$3:$H$71,4,FALSE)</f>
        <v>0</v>
      </c>
      <c r="AF65" s="771">
        <f t="shared" si="15"/>
        <v>3061369</v>
      </c>
      <c r="AG65" s="772">
        <f>VLOOKUP($A65,[7]Sheet1!$B$2:$U$70,17,FALSE)</f>
        <v>0.02</v>
      </c>
      <c r="AH65" s="38">
        <f>VLOOKUP($A65,[7]Sheet1!$B$2:$U$70,18,FALSE)</f>
        <v>5096316</v>
      </c>
      <c r="AI65" s="38">
        <f>VLOOKUP($A65,[7]Sheet1!$B$2:$U$70,19,FALSE)</f>
        <v>0</v>
      </c>
      <c r="AJ65" s="38">
        <f>VLOOKUP($A65,[8]Sheet1!$A$3:$H$71,7,FALSE)</f>
        <v>0</v>
      </c>
      <c r="AK65" s="773">
        <f t="shared" si="16"/>
        <v>5096316</v>
      </c>
      <c r="AL65" s="771">
        <v>244164350</v>
      </c>
      <c r="AM65" s="771">
        <f t="shared" si="19"/>
        <v>254815800</v>
      </c>
      <c r="AN65" s="772">
        <f t="shared" si="17"/>
        <v>4.3624099914668132E-2</v>
      </c>
      <c r="AO65" s="771">
        <f t="shared" si="18"/>
        <v>254815800</v>
      </c>
      <c r="AP65" s="761">
        <f t="shared" si="6"/>
        <v>0.02</v>
      </c>
      <c r="AQ65" s="761">
        <f t="shared" si="7"/>
        <v>0</v>
      </c>
      <c r="AR65" s="771">
        <f>VLOOKUP($A65,[7]Sheet1!$B$2:$U$70,20,FALSE)</f>
        <v>162491</v>
      </c>
      <c r="AS65" s="771">
        <f t="shared" si="8"/>
        <v>8320176</v>
      </c>
      <c r="AT65" s="771">
        <f>ROUND(AS65/'3_Levels 1&amp;2'!C65,2)</f>
        <v>1726.18</v>
      </c>
    </row>
    <row r="66" spans="1:46" ht="15" customHeight="1" x14ac:dyDescent="0.2">
      <c r="A66" s="742">
        <v>60</v>
      </c>
      <c r="B66" s="791" t="s">
        <v>190</v>
      </c>
      <c r="C66" s="785">
        <f>VLOOKUP($A66,[6]Breakout!$A$4:$E$72,3,FALSE)</f>
        <v>310981140</v>
      </c>
      <c r="D66" s="785">
        <f>VLOOKUP($A66,[6]Breakout!$A$4:$E$72,4,FALSE)</f>
        <v>55269138</v>
      </c>
      <c r="E66" s="744">
        <f t="shared" si="9"/>
        <v>255712002</v>
      </c>
      <c r="F66" s="744">
        <v>251718988</v>
      </c>
      <c r="G66" s="776">
        <f t="shared" si="10"/>
        <v>1.586298289106422E-2</v>
      </c>
      <c r="H66" s="777">
        <f t="shared" si="1"/>
        <v>255712002</v>
      </c>
      <c r="I66" s="778">
        <f>VLOOKUP($A66,[7]Sheet1!$B$2:$U$70,3,FALSE)</f>
        <v>4.22</v>
      </c>
      <c r="J66" s="779">
        <f>VLOOKUP($A66,[7]Sheet1!$B$2:$U$70,4,FALSE)</f>
        <v>1065125</v>
      </c>
      <c r="K66" s="778">
        <f>VLOOKUP($A66,[7]Sheet1!$B$2:$U$70,5,FALSE)</f>
        <v>11.57</v>
      </c>
      <c r="L66" s="779">
        <f>VLOOKUP($A66,[7]Sheet1!$B$2:$U$70,6,FALSE)</f>
        <v>2918876</v>
      </c>
      <c r="M66" s="780">
        <f>VLOOKUP($A66,[7]Sheet1!$B$2:$U$70,7,FALSE)</f>
        <v>0</v>
      </c>
      <c r="N66" s="780">
        <f>VLOOKUP($A66,[7]Sheet1!$B$2:$U$70,8,FALSE)</f>
        <v>26.7</v>
      </c>
      <c r="O66" s="780">
        <f>VLOOKUP($A66,[7]Sheet1!$B$2:$U$70,9,FALSE)</f>
        <v>5</v>
      </c>
      <c r="P66" s="779">
        <f>VLOOKUP($A66,[7]Sheet1!$B$2:$U$70,10,FALSE)</f>
        <v>1849831</v>
      </c>
      <c r="Q66" s="744">
        <f t="shared" si="11"/>
        <v>5833832</v>
      </c>
      <c r="R66" s="780">
        <f>VLOOKUP($A66,[7]Sheet1!$B$2:$U$70,11,FALSE)</f>
        <v>0</v>
      </c>
      <c r="S66" s="779">
        <f>VLOOKUP($A66,[7]Sheet1!$B$2:$U$70,12,FALSE)</f>
        <v>0</v>
      </c>
      <c r="T66" s="780">
        <f>VLOOKUP($A66,[7]Sheet1!$B$2:$U$70,13,FALSE)</f>
        <v>0</v>
      </c>
      <c r="U66" s="780">
        <f>VLOOKUP($A66,[7]Sheet1!$B$2:$U$70,14,FALSE)</f>
        <v>33</v>
      </c>
      <c r="V66" s="780">
        <f>VLOOKUP($A66,[7]Sheet1!$B$2:$U$70,15,FALSE)</f>
        <v>6</v>
      </c>
      <c r="W66" s="779">
        <f>VLOOKUP($A66,[7]Sheet1!$B$2:$U$70,16,FALSE)</f>
        <v>6618353</v>
      </c>
      <c r="X66" s="744">
        <f t="shared" si="12"/>
        <v>6618353</v>
      </c>
      <c r="Y66" s="781">
        <f t="shared" si="13"/>
        <v>15.79</v>
      </c>
      <c r="Z66" s="744">
        <f t="shared" si="13"/>
        <v>3984001</v>
      </c>
      <c r="AA66" s="744">
        <f t="shared" si="14"/>
        <v>8468184</v>
      </c>
      <c r="AB66" s="782">
        <f t="shared" si="2"/>
        <v>25.88</v>
      </c>
      <c r="AC66" s="783">
        <f t="shared" si="3"/>
        <v>22.81</v>
      </c>
      <c r="AD66" s="784">
        <f t="shared" si="4"/>
        <v>48.7</v>
      </c>
      <c r="AE66" s="785">
        <f>VLOOKUP($A66,[8]Sheet1!$A$3:$H$71,4,FALSE)</f>
        <v>0</v>
      </c>
      <c r="AF66" s="785">
        <f t="shared" si="15"/>
        <v>12452185</v>
      </c>
      <c r="AG66" s="786">
        <f>VLOOKUP($A66,[7]Sheet1!$B$2:$U$70,17,FALSE)</f>
        <v>2.1299999999999999E-2</v>
      </c>
      <c r="AH66" s="787">
        <f>VLOOKUP($A66,[7]Sheet1!$B$2:$U$70,18,FALSE)</f>
        <v>14728534</v>
      </c>
      <c r="AI66" s="787">
        <f>VLOOKUP($A66,[7]Sheet1!$B$2:$U$70,19,FALSE)</f>
        <v>0</v>
      </c>
      <c r="AJ66" s="787">
        <f>VLOOKUP($A66,[8]Sheet1!$A$3:$H$71,7,FALSE)</f>
        <v>0</v>
      </c>
      <c r="AK66" s="788">
        <f t="shared" si="16"/>
        <v>14728534</v>
      </c>
      <c r="AL66" s="785">
        <v>650702347</v>
      </c>
      <c r="AM66" s="785">
        <f t="shared" si="19"/>
        <v>691480469</v>
      </c>
      <c r="AN66" s="786">
        <f t="shared" si="17"/>
        <v>6.2667857566525723E-2</v>
      </c>
      <c r="AO66" s="785">
        <f t="shared" si="18"/>
        <v>691480469</v>
      </c>
      <c r="AP66" s="776">
        <f t="shared" si="6"/>
        <v>2.1300000014895577E-2</v>
      </c>
      <c r="AQ66" s="776">
        <f t="shared" si="7"/>
        <v>0</v>
      </c>
      <c r="AR66" s="785">
        <f>VLOOKUP($A66,[7]Sheet1!$B$2:$U$70,20,FALSE)</f>
        <v>295283</v>
      </c>
      <c r="AS66" s="785">
        <f t="shared" si="8"/>
        <v>27476002</v>
      </c>
      <c r="AT66" s="785">
        <f>ROUND(AS66/'3_Levels 1&amp;2'!C66,2)</f>
        <v>4944.3900000000003</v>
      </c>
    </row>
    <row r="67" spans="1:46" ht="15" customHeight="1" x14ac:dyDescent="0.2">
      <c r="A67" s="738">
        <v>61</v>
      </c>
      <c r="B67" s="790" t="s">
        <v>191</v>
      </c>
      <c r="C67" s="771">
        <f>VLOOKUP($A67,[6]Breakout!$A$4:$E$72,3,FALSE)</f>
        <v>516579610</v>
      </c>
      <c r="D67" s="771">
        <f>VLOOKUP($A67,[6]Breakout!$A$4:$E$72,4,FALSE)</f>
        <v>48826728</v>
      </c>
      <c r="E67" s="740">
        <f t="shared" si="9"/>
        <v>467752882</v>
      </c>
      <c r="F67" s="740">
        <v>427957220</v>
      </c>
      <c r="G67" s="761">
        <f t="shared" si="10"/>
        <v>9.2989813327603171E-2</v>
      </c>
      <c r="H67" s="762">
        <f t="shared" si="1"/>
        <v>467752882</v>
      </c>
      <c r="I67" s="763">
        <f>VLOOKUP($A67,[7]Sheet1!$B$2:$U$70,3,FALSE)</f>
        <v>4.3899999999999997</v>
      </c>
      <c r="J67" s="764">
        <f>VLOOKUP($A67,[7]Sheet1!$B$2:$U$70,4,FALSE)</f>
        <v>2050724</v>
      </c>
      <c r="K67" s="763">
        <f>VLOOKUP($A67,[7]Sheet1!$B$2:$U$70,5,FALSE)</f>
        <v>39</v>
      </c>
      <c r="L67" s="764">
        <f>VLOOKUP($A67,[7]Sheet1!$B$2:$U$70,6,FALSE)</f>
        <v>18218278</v>
      </c>
      <c r="M67" s="765">
        <f>VLOOKUP($A67,[7]Sheet1!$B$2:$U$70,7,FALSE)</f>
        <v>0</v>
      </c>
      <c r="N67" s="765">
        <f>VLOOKUP($A67,[7]Sheet1!$B$2:$U$70,8,FALSE)</f>
        <v>0</v>
      </c>
      <c r="O67" s="765">
        <f>VLOOKUP($A67,[7]Sheet1!$B$2:$U$70,9,FALSE)</f>
        <v>0</v>
      </c>
      <c r="P67" s="764">
        <f>VLOOKUP($A67,[7]Sheet1!$B$2:$U$70,10,FALSE)</f>
        <v>0</v>
      </c>
      <c r="Q67" s="740">
        <f t="shared" si="11"/>
        <v>20269002</v>
      </c>
      <c r="R67" s="766">
        <f>VLOOKUP($A67,[7]Sheet1!$B$2:$U$70,11,FALSE)</f>
        <v>14.75</v>
      </c>
      <c r="S67" s="764">
        <f>VLOOKUP($A67,[7]Sheet1!$B$2:$U$70,12,FALSE)</f>
        <v>6890246</v>
      </c>
      <c r="T67" s="765">
        <f>VLOOKUP($A67,[7]Sheet1!$B$2:$U$70,13,FALSE)</f>
        <v>0</v>
      </c>
      <c r="U67" s="765">
        <f>VLOOKUP($A67,[7]Sheet1!$B$2:$U$70,14,FALSE)</f>
        <v>0</v>
      </c>
      <c r="V67" s="765">
        <f>VLOOKUP($A67,[7]Sheet1!$B$2:$U$70,15,FALSE)</f>
        <v>0</v>
      </c>
      <c r="W67" s="764">
        <f>VLOOKUP($A67,[7]Sheet1!$B$2:$U$70,16,FALSE)</f>
        <v>0</v>
      </c>
      <c r="X67" s="740">
        <f t="shared" si="12"/>
        <v>6890246</v>
      </c>
      <c r="Y67" s="767">
        <f t="shared" si="13"/>
        <v>58.14</v>
      </c>
      <c r="Z67" s="740">
        <f t="shared" si="13"/>
        <v>27159248</v>
      </c>
      <c r="AA67" s="740">
        <f t="shared" si="14"/>
        <v>0</v>
      </c>
      <c r="AB67" s="768">
        <f t="shared" si="2"/>
        <v>14.73</v>
      </c>
      <c r="AC67" s="769">
        <f t="shared" si="3"/>
        <v>43.33</v>
      </c>
      <c r="AD67" s="770">
        <f t="shared" si="4"/>
        <v>58.06</v>
      </c>
      <c r="AE67" s="771">
        <f>VLOOKUP($A67,[8]Sheet1!$A$3:$H$71,4,FALSE)</f>
        <v>0</v>
      </c>
      <c r="AF67" s="771">
        <f t="shared" si="15"/>
        <v>27159248</v>
      </c>
      <c r="AG67" s="772">
        <f>VLOOKUP($A67,[7]Sheet1!$B$2:$U$70,17,FALSE)</f>
        <v>0.02</v>
      </c>
      <c r="AH67" s="38">
        <f>VLOOKUP($A67,[7]Sheet1!$B$2:$U$70,18,FALSE)</f>
        <v>15844103</v>
      </c>
      <c r="AI67" s="38">
        <f>VLOOKUP($A67,[7]Sheet1!$B$2:$U$70,19,FALSE)</f>
        <v>0</v>
      </c>
      <c r="AJ67" s="38">
        <f>VLOOKUP($A67,[8]Sheet1!$A$3:$H$71,7,FALSE)</f>
        <v>0</v>
      </c>
      <c r="AK67" s="773">
        <f t="shared" si="16"/>
        <v>15844103</v>
      </c>
      <c r="AL67" s="771">
        <v>772525900</v>
      </c>
      <c r="AM67" s="771">
        <f t="shared" si="19"/>
        <v>792205150</v>
      </c>
      <c r="AN67" s="774">
        <f t="shared" si="17"/>
        <v>2.5473903205057592E-2</v>
      </c>
      <c r="AO67" s="789">
        <f t="shared" si="18"/>
        <v>792205150</v>
      </c>
      <c r="AP67" s="761">
        <f t="shared" si="6"/>
        <v>0.02</v>
      </c>
      <c r="AQ67" s="761">
        <f t="shared" si="7"/>
        <v>0</v>
      </c>
      <c r="AR67" s="771">
        <f>VLOOKUP($A67,[7]Sheet1!$B$2:$U$70,20,FALSE)</f>
        <v>183961</v>
      </c>
      <c r="AS67" s="771">
        <f t="shared" si="8"/>
        <v>43187312</v>
      </c>
      <c r="AT67" s="771">
        <f>ROUND(AS67/'3_Levels 1&amp;2'!C67,2)</f>
        <v>11104.99</v>
      </c>
    </row>
    <row r="68" spans="1:46" ht="15" customHeight="1" x14ac:dyDescent="0.2">
      <c r="A68" s="738">
        <v>62</v>
      </c>
      <c r="B68" s="790" t="s">
        <v>192</v>
      </c>
      <c r="C68" s="771">
        <f>VLOOKUP($A68,[6]Breakout!$A$4:$E$72,3,FALSE)</f>
        <v>83778910</v>
      </c>
      <c r="D68" s="771">
        <f>VLOOKUP($A68,[6]Breakout!$A$4:$E$72,4,FALSE)</f>
        <v>17871219</v>
      </c>
      <c r="E68" s="740">
        <f t="shared" si="9"/>
        <v>65907691</v>
      </c>
      <c r="F68" s="740">
        <v>62589603</v>
      </c>
      <c r="G68" s="761">
        <f t="shared" si="10"/>
        <v>5.3013405437321595E-2</v>
      </c>
      <c r="H68" s="762">
        <f t="shared" si="1"/>
        <v>65907691</v>
      </c>
      <c r="I68" s="763">
        <f>VLOOKUP($A68,[7]Sheet1!$B$2:$U$70,3,FALSE)</f>
        <v>7.5</v>
      </c>
      <c r="J68" s="764">
        <f>VLOOKUP($A68,[7]Sheet1!$B$2:$U$70,4,FALSE)</f>
        <v>494177</v>
      </c>
      <c r="K68" s="763">
        <f>VLOOKUP($A68,[7]Sheet1!$B$2:$U$70,5,FALSE)</f>
        <v>18.670000000000002</v>
      </c>
      <c r="L68" s="764">
        <f>VLOOKUP($A68,[7]Sheet1!$B$2:$U$70,6,FALSE)</f>
        <v>1230153</v>
      </c>
      <c r="M68" s="765">
        <f>VLOOKUP($A68,[7]Sheet1!$B$2:$U$70,7,FALSE)</f>
        <v>4.74</v>
      </c>
      <c r="N68" s="765">
        <f>VLOOKUP($A68,[7]Sheet1!$B$2:$U$70,8,FALSE)</f>
        <v>4.74</v>
      </c>
      <c r="O68" s="765">
        <f>VLOOKUP($A68,[7]Sheet1!$B$2:$U$70,9,FALSE)</f>
        <v>1</v>
      </c>
      <c r="P68" s="764">
        <f>VLOOKUP($A68,[7]Sheet1!$B$2:$U$70,10,FALSE)</f>
        <v>143463</v>
      </c>
      <c r="Q68" s="740">
        <f t="shared" si="11"/>
        <v>1867793</v>
      </c>
      <c r="R68" s="765">
        <f>VLOOKUP($A68,[7]Sheet1!$B$2:$U$70,11,FALSE)</f>
        <v>0</v>
      </c>
      <c r="S68" s="764">
        <f>VLOOKUP($A68,[7]Sheet1!$B$2:$U$70,12,FALSE)</f>
        <v>0</v>
      </c>
      <c r="T68" s="765">
        <f>VLOOKUP($A68,[7]Sheet1!$B$2:$U$70,13,FALSE)</f>
        <v>0</v>
      </c>
      <c r="U68" s="765">
        <f>VLOOKUP($A68,[7]Sheet1!$B$2:$U$70,14,FALSE)</f>
        <v>0</v>
      </c>
      <c r="V68" s="765">
        <f>VLOOKUP($A68,[7]Sheet1!$B$2:$U$70,15,FALSE)</f>
        <v>0</v>
      </c>
      <c r="W68" s="764">
        <f>VLOOKUP($A68,[7]Sheet1!$B$2:$U$70,16,FALSE)</f>
        <v>0</v>
      </c>
      <c r="X68" s="740">
        <f t="shared" si="12"/>
        <v>0</v>
      </c>
      <c r="Y68" s="767">
        <f t="shared" si="13"/>
        <v>26.17</v>
      </c>
      <c r="Z68" s="740">
        <f>J68+L68+S68</f>
        <v>1724330</v>
      </c>
      <c r="AA68" s="740">
        <f t="shared" si="14"/>
        <v>143463</v>
      </c>
      <c r="AB68" s="768">
        <f t="shared" si="2"/>
        <v>0</v>
      </c>
      <c r="AC68" s="769">
        <f t="shared" si="3"/>
        <v>28.34</v>
      </c>
      <c r="AD68" s="770">
        <f t="shared" si="4"/>
        <v>28.34</v>
      </c>
      <c r="AE68" s="771">
        <f>VLOOKUP($A68,[8]Sheet1!$A$3:$H$71,4,FALSE)</f>
        <v>0</v>
      </c>
      <c r="AF68" s="771">
        <f t="shared" si="15"/>
        <v>1867793</v>
      </c>
      <c r="AG68" s="772">
        <f>VLOOKUP($A68,[7]Sheet1!$B$2:$U$70,17,FALSE)</f>
        <v>0.02</v>
      </c>
      <c r="AH68" s="38">
        <f>VLOOKUP($A68,[7]Sheet1!$B$2:$U$70,18,FALSE)</f>
        <v>2897892</v>
      </c>
      <c r="AI68" s="38">
        <f>VLOOKUP($A68,[7]Sheet1!$B$2:$U$70,19,FALSE)</f>
        <v>0</v>
      </c>
      <c r="AJ68" s="38">
        <f>VLOOKUP($A68,[8]Sheet1!$A$3:$H$71,7,FALSE)</f>
        <v>0</v>
      </c>
      <c r="AK68" s="773">
        <f t="shared" si="16"/>
        <v>2897892</v>
      </c>
      <c r="AL68" s="771">
        <v>134945850</v>
      </c>
      <c r="AM68" s="771">
        <f t="shared" si="19"/>
        <v>144894600</v>
      </c>
      <c r="AN68" s="774">
        <f t="shared" si="17"/>
        <v>7.3724015966404308E-2</v>
      </c>
      <c r="AO68" s="789">
        <f t="shared" si="18"/>
        <v>144894600</v>
      </c>
      <c r="AP68" s="761">
        <f t="shared" si="6"/>
        <v>0.02</v>
      </c>
      <c r="AQ68" s="761">
        <f t="shared" si="7"/>
        <v>0</v>
      </c>
      <c r="AR68" s="771">
        <f>VLOOKUP($A68,[7]Sheet1!$B$2:$U$70,20,FALSE)</f>
        <v>80380</v>
      </c>
      <c r="AS68" s="771">
        <f t="shared" si="8"/>
        <v>4846065</v>
      </c>
      <c r="AT68" s="771">
        <f>ROUND(AS68/'3_Levels 1&amp;2'!C68,2)</f>
        <v>2638.03</v>
      </c>
    </row>
    <row r="69" spans="1:46" ht="15" customHeight="1" x14ac:dyDescent="0.2">
      <c r="A69" s="738">
        <v>63</v>
      </c>
      <c r="B69" s="790" t="s">
        <v>193</v>
      </c>
      <c r="C69" s="771">
        <f>VLOOKUP($A69,[6]Breakout!$A$4:$E$72,3,FALSE)</f>
        <v>398003176</v>
      </c>
      <c r="D69" s="771">
        <f>VLOOKUP($A69,[6]Breakout!$A$4:$E$72,4,FALSE)</f>
        <v>18170566</v>
      </c>
      <c r="E69" s="740">
        <f t="shared" si="9"/>
        <v>379832610</v>
      </c>
      <c r="F69" s="740">
        <v>362212188</v>
      </c>
      <c r="G69" s="761">
        <f t="shared" si="10"/>
        <v>4.8646684412507954E-2</v>
      </c>
      <c r="H69" s="762">
        <f t="shared" si="1"/>
        <v>379832610</v>
      </c>
      <c r="I69" s="763">
        <f>VLOOKUP($A69,[7]Sheet1!$B$2:$U$70,3,FALSE)</f>
        <v>4.46</v>
      </c>
      <c r="J69" s="764">
        <f>VLOOKUP($A69,[7]Sheet1!$B$2:$U$70,4,FALSE)</f>
        <v>1686118</v>
      </c>
      <c r="K69" s="763">
        <f>VLOOKUP($A69,[7]Sheet1!$B$2:$U$70,5,FALSE)</f>
        <v>29.5</v>
      </c>
      <c r="L69" s="764">
        <f>VLOOKUP($A69,[7]Sheet1!$B$2:$U$70,6,FALSE)</f>
        <v>10847648</v>
      </c>
      <c r="M69" s="765">
        <f>VLOOKUP($A69,[7]Sheet1!$B$2:$U$70,7,FALSE)</f>
        <v>0</v>
      </c>
      <c r="N69" s="765">
        <f>VLOOKUP($A69,[7]Sheet1!$B$2:$U$70,8,FALSE)</f>
        <v>0</v>
      </c>
      <c r="O69" s="765">
        <f>VLOOKUP($A69,[7]Sheet1!$B$2:$U$70,9,FALSE)</f>
        <v>0</v>
      </c>
      <c r="P69" s="764">
        <f>VLOOKUP($A69,[7]Sheet1!$B$2:$U$70,10,FALSE)</f>
        <v>0</v>
      </c>
      <c r="Q69" s="740">
        <f t="shared" si="11"/>
        <v>12533766</v>
      </c>
      <c r="R69" s="765">
        <f>VLOOKUP($A69,[7]Sheet1!$B$2:$U$70,11,FALSE)</f>
        <v>5.8</v>
      </c>
      <c r="S69" s="764">
        <f>VLOOKUP($A69,[7]Sheet1!$B$2:$U$70,12,FALSE)</f>
        <v>2192386</v>
      </c>
      <c r="T69" s="765">
        <f>VLOOKUP($A69,[7]Sheet1!$B$2:$U$70,13,FALSE)</f>
        <v>0</v>
      </c>
      <c r="U69" s="765">
        <f>VLOOKUP($A69,[7]Sheet1!$B$2:$U$70,14,FALSE)</f>
        <v>0</v>
      </c>
      <c r="V69" s="765">
        <f>VLOOKUP($A69,[7]Sheet1!$B$2:$U$70,15,FALSE)</f>
        <v>0</v>
      </c>
      <c r="W69" s="764">
        <f>VLOOKUP($A69,[7]Sheet1!$B$2:$U$70,16,FALSE)</f>
        <v>0</v>
      </c>
      <c r="X69" s="740">
        <f t="shared" si="12"/>
        <v>2192386</v>
      </c>
      <c r="Y69" s="767">
        <f t="shared" si="13"/>
        <v>39.76</v>
      </c>
      <c r="Z69" s="740">
        <f t="shared" si="13"/>
        <v>14726152</v>
      </c>
      <c r="AA69" s="740">
        <f t="shared" si="14"/>
        <v>0</v>
      </c>
      <c r="AB69" s="768">
        <f t="shared" si="2"/>
        <v>5.77</v>
      </c>
      <c r="AC69" s="769">
        <f t="shared" si="3"/>
        <v>33</v>
      </c>
      <c r="AD69" s="770">
        <f t="shared" si="4"/>
        <v>38.770000000000003</v>
      </c>
      <c r="AE69" s="771">
        <f>VLOOKUP($A69,[8]Sheet1!$A$3:$H$71,4,FALSE)</f>
        <v>0</v>
      </c>
      <c r="AF69" s="771">
        <f t="shared" si="15"/>
        <v>14726152</v>
      </c>
      <c r="AG69" s="772">
        <f>VLOOKUP($A69,[7]Sheet1!$B$2:$U$70,17,FALSE)</f>
        <v>0.03</v>
      </c>
      <c r="AH69" s="38">
        <f>VLOOKUP($A69,[7]Sheet1!$B$2:$U$70,18,FALSE)</f>
        <v>7572800</v>
      </c>
      <c r="AI69" s="38">
        <f>VLOOKUP($A69,[7]Sheet1!$B$2:$U$70,19,FALSE)</f>
        <v>0</v>
      </c>
      <c r="AJ69" s="38">
        <f>VLOOKUP($A69,[8]Sheet1!$A$3:$H$71,7,FALSE)</f>
        <v>0</v>
      </c>
      <c r="AK69" s="773">
        <f t="shared" si="16"/>
        <v>7572800</v>
      </c>
      <c r="AL69" s="771">
        <v>280518933</v>
      </c>
      <c r="AM69" s="771">
        <f t="shared" si="19"/>
        <v>252426667</v>
      </c>
      <c r="AN69" s="772">
        <f t="shared" si="17"/>
        <v>-0.10014392147998082</v>
      </c>
      <c r="AO69" s="771">
        <f t="shared" si="18"/>
        <v>252426667</v>
      </c>
      <c r="AP69" s="761">
        <f t="shared" si="6"/>
        <v>2.9999999960384535E-2</v>
      </c>
      <c r="AQ69" s="761">
        <f t="shared" si="7"/>
        <v>0</v>
      </c>
      <c r="AR69" s="771">
        <f>VLOOKUP($A69,[7]Sheet1!$B$2:$U$70,20,FALSE)</f>
        <v>57832</v>
      </c>
      <c r="AS69" s="771">
        <f t="shared" si="8"/>
        <v>22356784</v>
      </c>
      <c r="AT69" s="771">
        <f>ROUND(AS69/'3_Levels 1&amp;2'!C69,2)</f>
        <v>10805.6</v>
      </c>
    </row>
    <row r="70" spans="1:46" ht="15" customHeight="1" x14ac:dyDescent="0.2">
      <c r="A70" s="738">
        <v>64</v>
      </c>
      <c r="B70" s="790" t="s">
        <v>194</v>
      </c>
      <c r="C70" s="771">
        <f>VLOOKUP($A70,[6]Breakout!$A$4:$E$72,3,FALSE)</f>
        <v>87645820</v>
      </c>
      <c r="D70" s="771">
        <f>VLOOKUP($A70,[6]Breakout!$A$4:$E$72,4,FALSE)</f>
        <v>17223456</v>
      </c>
      <c r="E70" s="740">
        <f t="shared" si="9"/>
        <v>70422364</v>
      </c>
      <c r="F70" s="740">
        <v>69745996</v>
      </c>
      <c r="G70" s="761">
        <f t="shared" si="10"/>
        <v>9.697588948331887E-3</v>
      </c>
      <c r="H70" s="762">
        <f t="shared" si="1"/>
        <v>70422364</v>
      </c>
      <c r="I70" s="763">
        <f>VLOOKUP($A70,[7]Sheet1!$B$2:$U$70,3,FALSE)</f>
        <v>4.93</v>
      </c>
      <c r="J70" s="764">
        <f>VLOOKUP($A70,[7]Sheet1!$B$2:$U$70,4,FALSE)</f>
        <v>346246</v>
      </c>
      <c r="K70" s="763">
        <f>VLOOKUP($A70,[7]Sheet1!$B$2:$U$70,5,FALSE)</f>
        <v>15.72</v>
      </c>
      <c r="L70" s="764">
        <f>VLOOKUP($A70,[7]Sheet1!$B$2:$U$70,6,FALSE)</f>
        <v>1104063</v>
      </c>
      <c r="M70" s="765">
        <f>VLOOKUP($A70,[7]Sheet1!$B$2:$U$70,7,FALSE)</f>
        <v>0</v>
      </c>
      <c r="N70" s="765">
        <f>VLOOKUP($A70,[7]Sheet1!$B$2:$U$70,8,FALSE)</f>
        <v>3.44</v>
      </c>
      <c r="O70" s="765">
        <f>VLOOKUP($A70,[7]Sheet1!$B$2:$U$70,9,FALSE)</f>
        <v>2</v>
      </c>
      <c r="P70" s="764">
        <f>VLOOKUP($A70,[7]Sheet1!$B$2:$U$70,10,FALSE)</f>
        <v>189375</v>
      </c>
      <c r="Q70" s="740">
        <f t="shared" si="11"/>
        <v>1639684</v>
      </c>
      <c r="R70" s="765">
        <f>VLOOKUP($A70,[7]Sheet1!$B$2:$U$70,11,FALSE)</f>
        <v>0</v>
      </c>
      <c r="S70" s="764">
        <f>VLOOKUP($A70,[7]Sheet1!$B$2:$U$70,12,FALSE)</f>
        <v>0</v>
      </c>
      <c r="T70" s="765">
        <f>VLOOKUP($A70,[7]Sheet1!$B$2:$U$70,13,FALSE)</f>
        <v>0</v>
      </c>
      <c r="U70" s="765">
        <f>VLOOKUP($A70,[7]Sheet1!$B$2:$U$70,14,FALSE)</f>
        <v>35</v>
      </c>
      <c r="V70" s="765">
        <f>VLOOKUP($A70,[7]Sheet1!$B$2:$U$70,15,FALSE)</f>
        <v>0</v>
      </c>
      <c r="W70" s="764">
        <f>VLOOKUP($A70,[7]Sheet1!$B$2:$U$70,16,FALSE)</f>
        <v>513505</v>
      </c>
      <c r="X70" s="740">
        <f t="shared" si="12"/>
        <v>513505</v>
      </c>
      <c r="Y70" s="767">
        <f t="shared" si="13"/>
        <v>20.65</v>
      </c>
      <c r="Z70" s="740">
        <f t="shared" si="13"/>
        <v>1450309</v>
      </c>
      <c r="AA70" s="740">
        <f t="shared" si="14"/>
        <v>702880</v>
      </c>
      <c r="AB70" s="768">
        <f t="shared" si="2"/>
        <v>7.29</v>
      </c>
      <c r="AC70" s="769">
        <f t="shared" si="3"/>
        <v>23.28</v>
      </c>
      <c r="AD70" s="770">
        <f t="shared" si="4"/>
        <v>30.58</v>
      </c>
      <c r="AE70" s="771">
        <f>VLOOKUP($A70,[8]Sheet1!$A$3:$H$71,4,FALSE)</f>
        <v>0</v>
      </c>
      <c r="AF70" s="771">
        <f t="shared" si="15"/>
        <v>2153189</v>
      </c>
      <c r="AG70" s="772">
        <f>VLOOKUP($A70,[7]Sheet1!$B$2:$U$70,17,FALSE)</f>
        <v>0.02</v>
      </c>
      <c r="AH70" s="38">
        <f>VLOOKUP($A70,[7]Sheet1!$B$2:$U$70,18,FALSE)</f>
        <v>4292312</v>
      </c>
      <c r="AI70" s="38">
        <f>VLOOKUP($A70,[7]Sheet1!$B$2:$U$70,19,FALSE)</f>
        <v>0</v>
      </c>
      <c r="AJ70" s="38">
        <f>VLOOKUP($A70,[8]Sheet1!$A$3:$H$71,7,FALSE)</f>
        <v>0</v>
      </c>
      <c r="AK70" s="773">
        <f t="shared" si="16"/>
        <v>4292312</v>
      </c>
      <c r="AL70" s="771">
        <v>219628850</v>
      </c>
      <c r="AM70" s="771">
        <f t="shared" si="19"/>
        <v>214615600</v>
      </c>
      <c r="AN70" s="772">
        <f t="shared" si="17"/>
        <v>-2.2826008513908806E-2</v>
      </c>
      <c r="AO70" s="771">
        <f t="shared" si="18"/>
        <v>214615600</v>
      </c>
      <c r="AP70" s="761">
        <f t="shared" si="6"/>
        <v>0.02</v>
      </c>
      <c r="AQ70" s="761">
        <f t="shared" si="7"/>
        <v>0</v>
      </c>
      <c r="AR70" s="771">
        <f>VLOOKUP($A70,[7]Sheet1!$B$2:$U$70,20,FALSE)</f>
        <v>226626</v>
      </c>
      <c r="AS70" s="771">
        <f t="shared" si="8"/>
        <v>6672127</v>
      </c>
      <c r="AT70" s="771">
        <f>ROUND(AS70/'3_Levels 1&amp;2'!C70,2)</f>
        <v>3522.77</v>
      </c>
    </row>
    <row r="71" spans="1:46" ht="15" customHeight="1" x14ac:dyDescent="0.2">
      <c r="A71" s="742">
        <v>65</v>
      </c>
      <c r="B71" s="791" t="s">
        <v>195</v>
      </c>
      <c r="C71" s="785">
        <f>VLOOKUP($A71,[6]Breakout!$A$4:$E$72,3,FALSE)</f>
        <v>438130356</v>
      </c>
      <c r="D71" s="785">
        <f>VLOOKUP($A71,[6]Breakout!$A$4:$E$72,4,FALSE)</f>
        <v>43177564</v>
      </c>
      <c r="E71" s="744">
        <f t="shared" si="9"/>
        <v>394952792</v>
      </c>
      <c r="F71" s="744">
        <v>395614066</v>
      </c>
      <c r="G71" s="776">
        <f t="shared" si="10"/>
        <v>-1.6715128627403254E-3</v>
      </c>
      <c r="H71" s="777">
        <f t="shared" ref="H71:H75" si="20">IF((E71-F71)/F71&gt;$H$3,F71*(1+$H$3),E71)</f>
        <v>394952792</v>
      </c>
      <c r="I71" s="778">
        <f>VLOOKUP($A71,[7]Sheet1!$B$2:$U$70,3,FALSE)</f>
        <v>7.07</v>
      </c>
      <c r="J71" s="779">
        <f>VLOOKUP($A71,[7]Sheet1!$B$2:$U$70,4,FALSE)</f>
        <v>2838819</v>
      </c>
      <c r="K71" s="778">
        <f>VLOOKUP($A71,[7]Sheet1!$B$2:$U$70,5,FALSE)</f>
        <v>20.56</v>
      </c>
      <c r="L71" s="779">
        <f>VLOOKUP($A71,[7]Sheet1!$B$2:$U$70,6,FALSE)</f>
        <v>8250319</v>
      </c>
      <c r="M71" s="780">
        <f>VLOOKUP($A71,[7]Sheet1!$B$2:$U$70,7,FALSE)</f>
        <v>0</v>
      </c>
      <c r="N71" s="780">
        <f>VLOOKUP($A71,[7]Sheet1!$B$2:$U$70,8,FALSE)</f>
        <v>0</v>
      </c>
      <c r="O71" s="780">
        <f>VLOOKUP($A71,[7]Sheet1!$B$2:$U$70,9,FALSE)</f>
        <v>0</v>
      </c>
      <c r="P71" s="779">
        <f>VLOOKUP($A71,[7]Sheet1!$B$2:$U$70,10,FALSE)</f>
        <v>0</v>
      </c>
      <c r="Q71" s="744">
        <f t="shared" si="11"/>
        <v>11089138</v>
      </c>
      <c r="R71" s="780">
        <f>VLOOKUP($A71,[7]Sheet1!$B$2:$U$70,11,FALSE)</f>
        <v>7.85</v>
      </c>
      <c r="S71" s="779">
        <f>VLOOKUP($A71,[7]Sheet1!$B$2:$U$70,12,FALSE)</f>
        <v>3180947</v>
      </c>
      <c r="T71" s="780">
        <f>VLOOKUP($A71,[7]Sheet1!$B$2:$U$70,13,FALSE)</f>
        <v>0</v>
      </c>
      <c r="U71" s="780">
        <f>VLOOKUP($A71,[7]Sheet1!$B$2:$U$70,14,FALSE)</f>
        <v>0</v>
      </c>
      <c r="V71" s="780">
        <f>VLOOKUP($A71,[7]Sheet1!$B$2:$U$70,15,FALSE)</f>
        <v>0</v>
      </c>
      <c r="W71" s="779">
        <f>VLOOKUP($A71,[7]Sheet1!$B$2:$U$70,16,FALSE)</f>
        <v>0</v>
      </c>
      <c r="X71" s="744">
        <f t="shared" si="12"/>
        <v>3180947</v>
      </c>
      <c r="Y71" s="781">
        <f t="shared" si="13"/>
        <v>35.479999999999997</v>
      </c>
      <c r="Z71" s="744">
        <f t="shared" si="13"/>
        <v>14270085</v>
      </c>
      <c r="AA71" s="744">
        <f t="shared" si="14"/>
        <v>0</v>
      </c>
      <c r="AB71" s="782">
        <f t="shared" ref="AB71:AB76" si="21">ROUND((X71/E71)*1000,2)</f>
        <v>8.0500000000000007</v>
      </c>
      <c r="AC71" s="783">
        <f t="shared" ref="AC71:AC76" si="22">ROUND((Q71/E71)*1000,2)</f>
        <v>28.08</v>
      </c>
      <c r="AD71" s="784">
        <f t="shared" ref="AD71:AD76" si="23">ROUND((AF71/E71)*1000,2)</f>
        <v>36.130000000000003</v>
      </c>
      <c r="AE71" s="785">
        <f>VLOOKUP($A71,[8]Sheet1!$A$3:$H$71,4,FALSE)</f>
        <v>0</v>
      </c>
      <c r="AF71" s="785">
        <f t="shared" si="15"/>
        <v>14270085</v>
      </c>
      <c r="AG71" s="786">
        <f>VLOOKUP($A71,[7]Sheet1!$B$2:$U$70,17,FALSE)</f>
        <v>0.02</v>
      </c>
      <c r="AH71" s="787">
        <f>VLOOKUP($A71,[7]Sheet1!$B$2:$U$70,18,FALSE)</f>
        <v>27898691</v>
      </c>
      <c r="AI71" s="787">
        <f>VLOOKUP($A71,[7]Sheet1!$B$2:$U$70,19,FALSE)</f>
        <v>0</v>
      </c>
      <c r="AJ71" s="787">
        <f>VLOOKUP($A71,[8]Sheet1!$A$3:$H$71,7,FALSE)</f>
        <v>0</v>
      </c>
      <c r="AK71" s="788">
        <f t="shared" si="16"/>
        <v>27898691</v>
      </c>
      <c r="AL71" s="785">
        <v>1429659600</v>
      </c>
      <c r="AM71" s="785">
        <f t="shared" si="19"/>
        <v>1394934550</v>
      </c>
      <c r="AN71" s="786">
        <f t="shared" si="17"/>
        <v>-2.4289033557358689E-2</v>
      </c>
      <c r="AO71" s="785">
        <f t="shared" si="18"/>
        <v>1394934550</v>
      </c>
      <c r="AP71" s="776">
        <f t="shared" ref="AP71:AP75" si="24">AH71/AM71</f>
        <v>0.02</v>
      </c>
      <c r="AQ71" s="776">
        <f t="shared" ref="AQ71:AQ75" si="25">AI71/AM71</f>
        <v>0</v>
      </c>
      <c r="AR71" s="785">
        <f>VLOOKUP($A71,[7]Sheet1!$B$2:$U$70,20,FALSE)</f>
        <v>258060</v>
      </c>
      <c r="AS71" s="785">
        <f>AR71+AF71+AK71</f>
        <v>42426836</v>
      </c>
      <c r="AT71" s="785">
        <f>ROUND(AS71/'3_Levels 1&amp;2'!C71,2)</f>
        <v>5423.35</v>
      </c>
    </row>
    <row r="72" spans="1:46" ht="15" customHeight="1" x14ac:dyDescent="0.2">
      <c r="A72" s="738">
        <v>66</v>
      </c>
      <c r="B72" s="790" t="s">
        <v>196</v>
      </c>
      <c r="C72" s="771">
        <f>VLOOKUP($A72,[6]Breakout!$A$4:$E$72,3,FALSE)</f>
        <v>109131700</v>
      </c>
      <c r="D72" s="771">
        <f>VLOOKUP($A72,[6]Breakout!$A$4:$E$72,4,FALSE)</f>
        <v>19123250</v>
      </c>
      <c r="E72" s="740">
        <f>C72-D72</f>
        <v>90008450</v>
      </c>
      <c r="F72" s="740">
        <v>87460680</v>
      </c>
      <c r="G72" s="761">
        <f>(E72-F72)/F72</f>
        <v>2.9130461825817043E-2</v>
      </c>
      <c r="H72" s="762">
        <f t="shared" si="20"/>
        <v>90008450</v>
      </c>
      <c r="I72" s="763">
        <f>VLOOKUP($A72,[7]Sheet1!$B$2:$U$70,3,FALSE)</f>
        <v>6.43</v>
      </c>
      <c r="J72" s="764">
        <f>VLOOKUP($A72,[7]Sheet1!$B$2:$U$70,4,FALSE)</f>
        <v>555179</v>
      </c>
      <c r="K72" s="763">
        <f>VLOOKUP($A72,[7]Sheet1!$B$2:$U$70,5,FALSE)</f>
        <v>56.61</v>
      </c>
      <c r="L72" s="764">
        <f>VLOOKUP($A72,[7]Sheet1!$B$2:$U$70,6,FALSE)</f>
        <v>5104479</v>
      </c>
      <c r="M72" s="765">
        <f>VLOOKUP($A72,[7]Sheet1!$B$2:$U$70,7,FALSE)</f>
        <v>0</v>
      </c>
      <c r="N72" s="765">
        <f>VLOOKUP($A72,[7]Sheet1!$B$2:$U$70,8,FALSE)</f>
        <v>0</v>
      </c>
      <c r="O72" s="765">
        <f>VLOOKUP($A72,[7]Sheet1!$B$2:$U$70,9,FALSE)</f>
        <v>0</v>
      </c>
      <c r="P72" s="764">
        <f>VLOOKUP($A72,[7]Sheet1!$B$2:$U$70,10,FALSE)</f>
        <v>0</v>
      </c>
      <c r="Q72" s="740">
        <f>J72+L72+P72</f>
        <v>5659658</v>
      </c>
      <c r="R72" s="766">
        <f>VLOOKUP($A72,[7]Sheet1!$B$2:$U$70,11,FALSE)</f>
        <v>0</v>
      </c>
      <c r="S72" s="764">
        <f>VLOOKUP($A72,[7]Sheet1!$B$2:$U$70,12,FALSE)</f>
        <v>0</v>
      </c>
      <c r="T72" s="765">
        <f>VLOOKUP($A72,[7]Sheet1!$B$2:$U$70,13,FALSE)</f>
        <v>0</v>
      </c>
      <c r="U72" s="765">
        <f>VLOOKUP($A72,[7]Sheet1!$B$2:$U$70,14,FALSE)</f>
        <v>0</v>
      </c>
      <c r="V72" s="765">
        <f>VLOOKUP($A72,[7]Sheet1!$B$2:$U$70,15,FALSE)</f>
        <v>0</v>
      </c>
      <c r="W72" s="764">
        <f>VLOOKUP($A72,[7]Sheet1!$B$2:$U$70,16,FALSE)</f>
        <v>0</v>
      </c>
      <c r="X72" s="740">
        <f>S72+W72</f>
        <v>0</v>
      </c>
      <c r="Y72" s="767">
        <f t="shared" ref="Y72:Z74" si="26">I72+K72+R72</f>
        <v>63.04</v>
      </c>
      <c r="Z72" s="740">
        <f t="shared" si="26"/>
        <v>5659658</v>
      </c>
      <c r="AA72" s="740">
        <f>P72+W72</f>
        <v>0</v>
      </c>
      <c r="AB72" s="768">
        <f t="shared" si="21"/>
        <v>0</v>
      </c>
      <c r="AC72" s="769">
        <f t="shared" si="22"/>
        <v>62.88</v>
      </c>
      <c r="AD72" s="770">
        <f t="shared" si="23"/>
        <v>62.88</v>
      </c>
      <c r="AE72" s="771">
        <f>VLOOKUP($A72,[8]Sheet1!$A$3:$H$71,4,FALSE)</f>
        <v>0</v>
      </c>
      <c r="AF72" s="771">
        <f>X72+Q72+AE72</f>
        <v>5659658</v>
      </c>
      <c r="AG72" s="772">
        <f>VLOOKUP($A72,[7]Sheet1!$B$2:$U$70,17,FALSE)</f>
        <v>0.01</v>
      </c>
      <c r="AH72" s="38">
        <f>VLOOKUP($A72,[7]Sheet1!$B$2:$U$70,18,FALSE)</f>
        <v>3002148</v>
      </c>
      <c r="AI72" s="38">
        <f>VLOOKUP($A72,[7]Sheet1!$B$2:$U$70,19,FALSE)</f>
        <v>0</v>
      </c>
      <c r="AJ72" s="38">
        <f>VLOOKUP($A72,[8]Sheet1!$A$3:$H$71,7,FALSE)</f>
        <v>0</v>
      </c>
      <c r="AK72" s="773">
        <f>AH72+AI72+AJ72</f>
        <v>3002148</v>
      </c>
      <c r="AL72" s="771">
        <v>287435700</v>
      </c>
      <c r="AM72" s="771">
        <f t="shared" si="19"/>
        <v>300214800</v>
      </c>
      <c r="AN72" s="774">
        <f>(AM72-AL72)/AL72</f>
        <v>4.4458986827314771E-2</v>
      </c>
      <c r="AO72" s="789">
        <f>IF((AM72-AL72)/AL72&gt;$AO$3,AL72*(1+$AO$3),AM72)</f>
        <v>300214800</v>
      </c>
      <c r="AP72" s="761">
        <f t="shared" si="24"/>
        <v>0.01</v>
      </c>
      <c r="AQ72" s="761">
        <f t="shared" si="25"/>
        <v>0</v>
      </c>
      <c r="AR72" s="771">
        <f>VLOOKUP($A72,[7]Sheet1!$B$2:$U$70,20,FALSE)</f>
        <v>194122</v>
      </c>
      <c r="AS72" s="771">
        <f>AR72+AF72+AK72</f>
        <v>8855928</v>
      </c>
      <c r="AT72" s="771">
        <f>ROUND(AS72/'3_Levels 1&amp;2'!C72,2)</f>
        <v>4695.6099999999997</v>
      </c>
    </row>
    <row r="73" spans="1:46" s="404" customFormat="1" ht="15" customHeight="1" x14ac:dyDescent="0.2">
      <c r="A73" s="738">
        <v>67</v>
      </c>
      <c r="B73" s="790" t="s">
        <v>197</v>
      </c>
      <c r="C73" s="771">
        <f>VLOOKUP($A73,[6]Breakout!$A$4:$E$72,3,FALSE)</f>
        <v>347052111.07999998</v>
      </c>
      <c r="D73" s="740">
        <f>VLOOKUP($A73,[6]Breakout!$A$4:$E$72,4,FALSE)</f>
        <v>47329540</v>
      </c>
      <c r="E73" s="740">
        <f>C73-D73</f>
        <v>299722571.07999998</v>
      </c>
      <c r="F73" s="740">
        <v>287042433.10999995</v>
      </c>
      <c r="G73" s="761">
        <f>(E73-F73)/F73</f>
        <v>4.4175134082495619E-2</v>
      </c>
      <c r="H73" s="762">
        <f t="shared" si="20"/>
        <v>299722571.07999998</v>
      </c>
      <c r="I73" s="763">
        <f>VLOOKUP($A73,[7]Sheet1!$B$2:$U$70,3,FALSE)</f>
        <v>0</v>
      </c>
      <c r="J73" s="764">
        <f>VLOOKUP($A73,[7]Sheet1!$B$2:$U$70,4,FALSE)</f>
        <v>0</v>
      </c>
      <c r="K73" s="763">
        <f>VLOOKUP($A73,[7]Sheet1!$B$2:$U$70,5,FALSE)</f>
        <v>0</v>
      </c>
      <c r="L73" s="764">
        <f>VLOOKUP($A73,[7]Sheet1!$B$2:$U$70,6,FALSE)</f>
        <v>0</v>
      </c>
      <c r="M73" s="765">
        <f>VLOOKUP($A73,[7]Sheet1!$B$2:$U$70,7,FALSE)</f>
        <v>0</v>
      </c>
      <c r="N73" s="765">
        <f>VLOOKUP($A73,[7]Sheet1!$B$2:$U$70,8,FALSE)</f>
        <v>38.200000000000003</v>
      </c>
      <c r="O73" s="765">
        <f>VLOOKUP($A73,[7]Sheet1!$B$2:$U$70,9,FALSE)</f>
        <v>1</v>
      </c>
      <c r="P73" s="764">
        <f>VLOOKUP($A73,[7]Sheet1!$B$2:$U$70,10,FALSE)</f>
        <v>11767682</v>
      </c>
      <c r="Q73" s="740">
        <f>J73+L73+P73</f>
        <v>11767682</v>
      </c>
      <c r="R73" s="765">
        <f>VLOOKUP($A73,[7]Sheet1!$B$2:$U$70,11,FALSE)</f>
        <v>0</v>
      </c>
      <c r="S73" s="764">
        <f>VLOOKUP($A73,[7]Sheet1!$B$2:$U$70,12,FALSE)</f>
        <v>0</v>
      </c>
      <c r="T73" s="765">
        <f>VLOOKUP($A73,[7]Sheet1!$B$2:$U$70,13,FALSE)</f>
        <v>0</v>
      </c>
      <c r="U73" s="765">
        <f>VLOOKUP($A73,[7]Sheet1!$B$2:$U$70,14,FALSE)</f>
        <v>34</v>
      </c>
      <c r="V73" s="765">
        <f>VLOOKUP($A73,[7]Sheet1!$B$2:$U$70,15,FALSE)</f>
        <v>1</v>
      </c>
      <c r="W73" s="764">
        <f>VLOOKUP($A73,[7]Sheet1!$B$2:$U$70,16,FALSE)</f>
        <v>10460791</v>
      </c>
      <c r="X73" s="740">
        <f>S73+W73</f>
        <v>10460791</v>
      </c>
      <c r="Y73" s="767">
        <f t="shared" si="26"/>
        <v>0</v>
      </c>
      <c r="Z73" s="740">
        <f t="shared" si="26"/>
        <v>0</v>
      </c>
      <c r="AA73" s="740">
        <f>P73+W73</f>
        <v>22228473</v>
      </c>
      <c r="AB73" s="768">
        <f t="shared" si="21"/>
        <v>34.9</v>
      </c>
      <c r="AC73" s="769">
        <f t="shared" si="22"/>
        <v>39.26</v>
      </c>
      <c r="AD73" s="770">
        <f t="shared" si="23"/>
        <v>74.16</v>
      </c>
      <c r="AE73" s="771">
        <f>VLOOKUP($A73,[8]Sheet1!$A$3:$H$71,4,FALSE)</f>
        <v>0</v>
      </c>
      <c r="AF73" s="771">
        <f>X73+Q73+AE73</f>
        <v>22228473</v>
      </c>
      <c r="AG73" s="772">
        <f>VLOOKUP($A73,[7]Sheet1!$B$2:$U$70,17,FALSE)</f>
        <v>0.02</v>
      </c>
      <c r="AH73" s="38">
        <f>VLOOKUP($A73,[7]Sheet1!$B$2:$U$70,18,FALSE)</f>
        <v>10164103</v>
      </c>
      <c r="AI73" s="38">
        <f>VLOOKUP($A73,[7]Sheet1!$B$2:$U$70,19,FALSE)</f>
        <v>0</v>
      </c>
      <c r="AJ73" s="38">
        <f>VLOOKUP($A73,[8]Sheet1!$A$3:$H$71,7,FALSE)</f>
        <v>0</v>
      </c>
      <c r="AK73" s="773">
        <f>AH73+AI73+AJ73</f>
        <v>10164103</v>
      </c>
      <c r="AL73" s="771">
        <v>497616200</v>
      </c>
      <c r="AM73" s="771">
        <f t="shared" si="19"/>
        <v>508205150</v>
      </c>
      <c r="AN73" s="774">
        <f>(AM73-AL73)/AL73</f>
        <v>2.1279351435905824E-2</v>
      </c>
      <c r="AO73" s="789">
        <f>IF((AM73-AL73)/AL73&gt;$AO$3,AL73*(1+$AO$3),AM73)</f>
        <v>508205150</v>
      </c>
      <c r="AP73" s="761">
        <f t="shared" si="24"/>
        <v>0.02</v>
      </c>
      <c r="AQ73" s="761">
        <f t="shared" si="25"/>
        <v>0</v>
      </c>
      <c r="AR73" s="771">
        <f>VLOOKUP($A73,[7]Sheet1!$B$2:$U$70,20,FALSE)</f>
        <v>97336</v>
      </c>
      <c r="AS73" s="771">
        <f>AR73+AF73+AK73</f>
        <v>32489912</v>
      </c>
      <c r="AT73" s="771">
        <f>ROUND(AS73/'3_Levels 1&amp;2'!C73,2)</f>
        <v>6049.14</v>
      </c>
    </row>
    <row r="74" spans="1:46" s="404" customFormat="1" ht="15" customHeight="1" x14ac:dyDescent="0.2">
      <c r="A74" s="738">
        <v>68</v>
      </c>
      <c r="B74" s="760" t="s">
        <v>198</v>
      </c>
      <c r="C74" s="740">
        <f>VLOOKUP($A74,[6]Breakout!$A$4:$E$72,3,FALSE)</f>
        <v>70681120</v>
      </c>
      <c r="D74" s="740">
        <f>VLOOKUP($A74,[6]Breakout!$A$4:$E$72,4,FALSE)</f>
        <v>20606000</v>
      </c>
      <c r="E74" s="740">
        <f>C74-D74</f>
        <v>50075120</v>
      </c>
      <c r="F74" s="740">
        <v>45470570.109999999</v>
      </c>
      <c r="G74" s="761">
        <f>(E74-F74)/F74</f>
        <v>0.10126439758421583</v>
      </c>
      <c r="H74" s="762">
        <f t="shared" si="20"/>
        <v>50017627.121000007</v>
      </c>
      <c r="I74" s="763">
        <f>VLOOKUP($A74,[7]Sheet1!$B$2:$U$70,3,FALSE)</f>
        <v>5</v>
      </c>
      <c r="J74" s="764">
        <f>VLOOKUP($A74,[7]Sheet1!$B$2:$U$70,4,FALSE)</f>
        <v>244665</v>
      </c>
      <c r="K74" s="763">
        <f>VLOOKUP($A74,[7]Sheet1!$B$2:$U$70,5,FALSE)</f>
        <v>38.200000000000003</v>
      </c>
      <c r="L74" s="764">
        <f>VLOOKUP($A74,[7]Sheet1!$B$2:$U$70,6,FALSE)</f>
        <v>1878751</v>
      </c>
      <c r="M74" s="765">
        <f>VLOOKUP($A74,[7]Sheet1!$B$2:$U$70,7,FALSE)</f>
        <v>0</v>
      </c>
      <c r="N74" s="765">
        <f>VLOOKUP($A74,[7]Sheet1!$B$2:$U$70,8,FALSE)</f>
        <v>0</v>
      </c>
      <c r="O74" s="765">
        <f>VLOOKUP($A74,[7]Sheet1!$B$2:$U$70,9,FALSE)</f>
        <v>0</v>
      </c>
      <c r="P74" s="764">
        <f>VLOOKUP($A74,[7]Sheet1!$B$2:$U$70,10,FALSE)</f>
        <v>0</v>
      </c>
      <c r="Q74" s="740">
        <f>J74+L74+P74</f>
        <v>2123416</v>
      </c>
      <c r="R74" s="765">
        <f>VLOOKUP($A74,[7]Sheet1!$B$2:$U$70,11,FALSE)</f>
        <v>0</v>
      </c>
      <c r="S74" s="764">
        <f>VLOOKUP($A74,[7]Sheet1!$B$2:$U$70,12,FALSE)</f>
        <v>0</v>
      </c>
      <c r="T74" s="765">
        <f>VLOOKUP($A74,[7]Sheet1!$B$2:$U$70,13,FALSE)</f>
        <v>0</v>
      </c>
      <c r="U74" s="765">
        <f>VLOOKUP($A74,[7]Sheet1!$B$2:$U$70,14,FALSE)</f>
        <v>0</v>
      </c>
      <c r="V74" s="765">
        <f>VLOOKUP($A74,[7]Sheet1!$B$2:$U$70,15,FALSE)</f>
        <v>0</v>
      </c>
      <c r="W74" s="764">
        <f>VLOOKUP($A74,[7]Sheet1!$B$2:$U$70,16,FALSE)</f>
        <v>0</v>
      </c>
      <c r="X74" s="740">
        <f>S74+W74</f>
        <v>0</v>
      </c>
      <c r="Y74" s="767">
        <f t="shared" si="26"/>
        <v>43.2</v>
      </c>
      <c r="Z74" s="740">
        <f t="shared" si="26"/>
        <v>2123416</v>
      </c>
      <c r="AA74" s="740">
        <f>P74+W74</f>
        <v>0</v>
      </c>
      <c r="AB74" s="768">
        <f t="shared" si="21"/>
        <v>0</v>
      </c>
      <c r="AC74" s="769">
        <f t="shared" si="22"/>
        <v>42.4</v>
      </c>
      <c r="AD74" s="770">
        <f t="shared" si="23"/>
        <v>42.4</v>
      </c>
      <c r="AE74" s="771">
        <f>VLOOKUP($A74,[8]Sheet1!$A$3:$H$71,4,FALSE)</f>
        <v>0</v>
      </c>
      <c r="AF74" s="771">
        <f>X74+Q74+AE74</f>
        <v>2123416</v>
      </c>
      <c r="AG74" s="772">
        <f>VLOOKUP($A74,[7]Sheet1!$B$2:$U$70,17,FALSE)</f>
        <v>0.02</v>
      </c>
      <c r="AH74" s="38">
        <f>VLOOKUP($A74,[7]Sheet1!$B$2:$U$70,18,FALSE)</f>
        <v>3694059</v>
      </c>
      <c r="AI74" s="38">
        <f>VLOOKUP($A74,[7]Sheet1!$B$2:$U$70,19,FALSE)</f>
        <v>0</v>
      </c>
      <c r="AJ74" s="38">
        <f>VLOOKUP($A74,[8]Sheet1!$A$3:$H$71,7,FALSE)</f>
        <v>0</v>
      </c>
      <c r="AK74" s="773">
        <f>AH74+AI74+AJ74</f>
        <v>3694059</v>
      </c>
      <c r="AL74" s="771">
        <v>181014800</v>
      </c>
      <c r="AM74" s="771">
        <f t="shared" si="19"/>
        <v>184702950</v>
      </c>
      <c r="AN74" s="772">
        <f>(AM74-AL74)/AL74</f>
        <v>2.0374853326910285E-2</v>
      </c>
      <c r="AO74" s="771">
        <f>IF((AM74-AL74)/AL74&gt;$AO$3,AL74*(1+$AO$3),AM74)</f>
        <v>184702950</v>
      </c>
      <c r="AP74" s="761">
        <f t="shared" si="24"/>
        <v>0.02</v>
      </c>
      <c r="AQ74" s="761">
        <f t="shared" si="25"/>
        <v>0</v>
      </c>
      <c r="AR74" s="771">
        <f>VLOOKUP($A74,[7]Sheet1!$B$2:$U$70,20,FALSE)</f>
        <v>45719</v>
      </c>
      <c r="AS74" s="771">
        <f>AR74+AF74+AK74</f>
        <v>5863194</v>
      </c>
      <c r="AT74" s="771">
        <f>ROUND(AS74/'3_Levels 1&amp;2'!C74,2)</f>
        <v>3799.87</v>
      </c>
    </row>
    <row r="75" spans="1:46" s="170" customFormat="1" ht="15" customHeight="1" x14ac:dyDescent="0.2">
      <c r="A75" s="792">
        <v>69</v>
      </c>
      <c r="B75" s="793" t="s">
        <v>199</v>
      </c>
      <c r="C75" s="794">
        <f>VLOOKUP($A75,[6]Breakout!$A$4:$E$72,3,FALSE)</f>
        <v>237223305</v>
      </c>
      <c r="D75" s="795">
        <f>VLOOKUP($A75,[6]Breakout!$A$4:$E$72,4,FALSE)</f>
        <v>68128565</v>
      </c>
      <c r="E75" s="795">
        <f>C75-D75</f>
        <v>169094740</v>
      </c>
      <c r="F75" s="795">
        <v>163910215.36000001</v>
      </c>
      <c r="G75" s="796">
        <f>(E75-F75)/F75</f>
        <v>3.1630271661916176E-2</v>
      </c>
      <c r="H75" s="797">
        <f t="shared" si="20"/>
        <v>169094740</v>
      </c>
      <c r="I75" s="798">
        <f>VLOOKUP($A75,[7]Sheet1!$B$2:$U$70,3,FALSE)</f>
        <v>3.91</v>
      </c>
      <c r="J75" s="794">
        <f>VLOOKUP($A75,[7]Sheet1!$B$2:$U$70,4,FALSE)</f>
        <v>651623</v>
      </c>
      <c r="K75" s="798">
        <f>VLOOKUP($A75,[7]Sheet1!$B$2:$U$70,5,FALSE)</f>
        <v>30.06</v>
      </c>
      <c r="L75" s="794">
        <f>VLOOKUP($A75,[7]Sheet1!$B$2:$U$70,6,FALSE)</f>
        <v>5021151</v>
      </c>
      <c r="M75" s="799">
        <f>VLOOKUP($A75,[7]Sheet1!$B$2:$U$70,7,FALSE)</f>
        <v>0</v>
      </c>
      <c r="N75" s="799">
        <f>VLOOKUP($A75,[7]Sheet1!$B$2:$U$70,8,FALSE)</f>
        <v>0</v>
      </c>
      <c r="O75" s="800">
        <f>VLOOKUP($A75,[7]Sheet1!$B$2:$U$70,9,FALSE)</f>
        <v>0</v>
      </c>
      <c r="P75" s="794">
        <f>VLOOKUP($A75,[7]Sheet1!$B$2:$U$70,10,FALSE)</f>
        <v>0</v>
      </c>
      <c r="Q75" s="801">
        <f>J75+L75+P75</f>
        <v>5672774</v>
      </c>
      <c r="R75" s="780">
        <f>VLOOKUP($A75,[7]Sheet1!$B$2:$U$70,11,FALSE)</f>
        <v>23.65</v>
      </c>
      <c r="S75" s="794">
        <f>VLOOKUP($A75,[7]Sheet1!$B$2:$U$70,12,FALSE)</f>
        <v>3949073</v>
      </c>
      <c r="T75" s="799">
        <f>VLOOKUP($A75,[7]Sheet1!$B$2:$U$70,13,FALSE)</f>
        <v>0</v>
      </c>
      <c r="U75" s="799">
        <f>VLOOKUP($A75,[7]Sheet1!$B$2:$U$70,14,FALSE)</f>
        <v>0</v>
      </c>
      <c r="V75" s="800">
        <f>VLOOKUP($A75,[7]Sheet1!$B$2:$U$70,15,FALSE)</f>
        <v>0</v>
      </c>
      <c r="W75" s="794">
        <f>VLOOKUP($A75,[7]Sheet1!$B$2:$U$70,16,FALSE)</f>
        <v>0</v>
      </c>
      <c r="X75" s="801">
        <f>S75+W75</f>
        <v>3949073</v>
      </c>
      <c r="Y75" s="798">
        <f>I75+K75+R75</f>
        <v>57.62</v>
      </c>
      <c r="Z75" s="794">
        <f>J75+L75+S75</f>
        <v>9621847</v>
      </c>
      <c r="AA75" s="794">
        <f>P75+W75</f>
        <v>0</v>
      </c>
      <c r="AB75" s="802">
        <f t="shared" si="21"/>
        <v>23.35</v>
      </c>
      <c r="AC75" s="803">
        <f t="shared" si="22"/>
        <v>33.549999999999997</v>
      </c>
      <c r="AD75" s="804">
        <f t="shared" si="23"/>
        <v>56.9</v>
      </c>
      <c r="AE75" s="794">
        <f>VLOOKUP($A75,[8]Sheet1!$A$3:$H$71,4,FALSE)</f>
        <v>0</v>
      </c>
      <c r="AF75" s="794">
        <f>X75+Q75+AE75</f>
        <v>9621847</v>
      </c>
      <c r="AG75" s="805">
        <f>VLOOKUP($A75,[7]Sheet1!$B$2:$U$70,17,FALSE)</f>
        <v>2.5000000000000001E-2</v>
      </c>
      <c r="AH75" s="55">
        <f>VLOOKUP($A75,[7]Sheet1!$B$2:$U$70,18,FALSE)</f>
        <v>7607032</v>
      </c>
      <c r="AI75" s="55">
        <f>VLOOKUP($A75,[7]Sheet1!$B$2:$U$70,19,FALSE)</f>
        <v>1902082</v>
      </c>
      <c r="AJ75" s="55">
        <f>VLOOKUP($A75,[8]Sheet1!$A$3:$H$71,7,FALSE)</f>
        <v>0</v>
      </c>
      <c r="AK75" s="806">
        <f>AH75+AI75+AJ75</f>
        <v>9509114</v>
      </c>
      <c r="AL75" s="794">
        <v>366064400</v>
      </c>
      <c r="AM75" s="794">
        <f t="shared" si="19"/>
        <v>380364560</v>
      </c>
      <c r="AN75" s="805">
        <f>(AM75-AL75)/AL75</f>
        <v>3.9064601747670631E-2</v>
      </c>
      <c r="AO75" s="794">
        <f>IF((AM75-AL75)/AL75&gt;$AO$3,AL75*(1+$AO$3),AM75)</f>
        <v>380364560</v>
      </c>
      <c r="AP75" s="807">
        <f t="shared" si="24"/>
        <v>1.9999318548499893E-2</v>
      </c>
      <c r="AQ75" s="807">
        <f t="shared" si="25"/>
        <v>5.000681451500108E-3</v>
      </c>
      <c r="AR75" s="794">
        <f>VLOOKUP($A75,[7]Sheet1!$B$2:$U$70,20,FALSE)</f>
        <v>4000</v>
      </c>
      <c r="AS75" s="794">
        <f>AR75+AF75+AK75</f>
        <v>19134961</v>
      </c>
      <c r="AT75" s="794">
        <f>ROUND(AS75/'3_Levels 1&amp;2'!C75,2)</f>
        <v>4019.95</v>
      </c>
    </row>
    <row r="76" spans="1:46" s="822" customFormat="1" ht="15" customHeight="1" thickBot="1" x14ac:dyDescent="0.25">
      <c r="A76" s="808"/>
      <c r="B76" s="809" t="s">
        <v>432</v>
      </c>
      <c r="C76" s="810">
        <f>SUM(C7:C75)</f>
        <v>51863730395</v>
      </c>
      <c r="D76" s="810">
        <f>SUM(D7:D75)</f>
        <v>7278813471</v>
      </c>
      <c r="E76" s="810">
        <f>SUM(E7:E75)</f>
        <v>44584916924</v>
      </c>
      <c r="F76" s="810">
        <f>SUM(F7:F75)</f>
        <v>42336408350</v>
      </c>
      <c r="G76" s="811">
        <f>(E76-F76)/F76</f>
        <v>5.3110517911942809E-2</v>
      </c>
      <c r="H76" s="812">
        <f>SUM(H7:H75)</f>
        <v>44289276381.721001</v>
      </c>
      <c r="I76" s="813">
        <v>5.0599999999999996</v>
      </c>
      <c r="J76" s="814">
        <f>SUM(J7:J75)</f>
        <v>291531417</v>
      </c>
      <c r="K76" s="815">
        <v>23.91</v>
      </c>
      <c r="L76" s="814">
        <f>SUM(L7:L75)</f>
        <v>1244140373</v>
      </c>
      <c r="M76" s="815">
        <f>MIN(M7:M75)</f>
        <v>0</v>
      </c>
      <c r="N76" s="815">
        <f>MAX(N7:N75)</f>
        <v>91.41</v>
      </c>
      <c r="O76" s="815">
        <f>SUM(O7:O75)</f>
        <v>78</v>
      </c>
      <c r="P76" s="814">
        <f>SUM(P7:P75)</f>
        <v>55708527</v>
      </c>
      <c r="Q76" s="814">
        <f>SUM(Q7:Q75)</f>
        <v>1591380317</v>
      </c>
      <c r="R76" s="815">
        <v>4.91</v>
      </c>
      <c r="S76" s="814">
        <f>SUM(S7:S75)</f>
        <v>172709438</v>
      </c>
      <c r="T76" s="815">
        <f>MIN(T7:T75)</f>
        <v>0</v>
      </c>
      <c r="U76" s="815">
        <f>MAX(U7:U75)</f>
        <v>48</v>
      </c>
      <c r="V76" s="815">
        <f>SUM(V7:V75)</f>
        <v>84</v>
      </c>
      <c r="W76" s="814">
        <f>SUM(W7:W75)</f>
        <v>100726437</v>
      </c>
      <c r="X76" s="810">
        <f>SUM(X7:X75)</f>
        <v>273435875</v>
      </c>
      <c r="Y76" s="816">
        <f>I76+K76+R76</f>
        <v>33.879999999999995</v>
      </c>
      <c r="Z76" s="810">
        <f>SUM(Z7:Z75)</f>
        <v>1708381228</v>
      </c>
      <c r="AA76" s="810">
        <f>SUM(AA7:AA75)</f>
        <v>156434964</v>
      </c>
      <c r="AB76" s="817">
        <f t="shared" si="21"/>
        <v>6.13</v>
      </c>
      <c r="AC76" s="818">
        <f t="shared" si="22"/>
        <v>35.69</v>
      </c>
      <c r="AD76" s="817">
        <f t="shared" si="23"/>
        <v>41.83</v>
      </c>
      <c r="AE76" s="810">
        <f>SUM(AE7:AE75)</f>
        <v>141690</v>
      </c>
      <c r="AF76" s="810">
        <f>SUM(AF7:AF75)</f>
        <v>1864957882</v>
      </c>
      <c r="AG76" s="819">
        <f>ROUND(AK76/AM76,4)</f>
        <v>2.0400000000000001E-2</v>
      </c>
      <c r="AH76" s="820">
        <f t="shared" ref="AH76:AM76" si="27">SUM(AH7:AH75)</f>
        <v>1931425738</v>
      </c>
      <c r="AI76" s="820">
        <f t="shared" si="27"/>
        <v>52625864</v>
      </c>
      <c r="AJ76" s="820">
        <f t="shared" si="27"/>
        <v>416529</v>
      </c>
      <c r="AK76" s="810">
        <f t="shared" si="27"/>
        <v>1984468131</v>
      </c>
      <c r="AL76" s="810">
        <f t="shared" si="27"/>
        <v>98336193525</v>
      </c>
      <c r="AM76" s="810">
        <f t="shared" si="27"/>
        <v>97220133730</v>
      </c>
      <c r="AN76" s="819">
        <f>(AM76-AL76)/AL76</f>
        <v>-1.1349430509695946E-2</v>
      </c>
      <c r="AO76" s="810">
        <f>SUM(AO7:AO75)</f>
        <v>97124376857</v>
      </c>
      <c r="AP76" s="821">
        <f>ROUND(AH76/$AM76,4)</f>
        <v>1.9900000000000001E-2</v>
      </c>
      <c r="AQ76" s="821">
        <f>ROUND(AI76/$AM76,4)</f>
        <v>5.0000000000000001E-4</v>
      </c>
      <c r="AR76" s="814">
        <f>SUM(AR7:AR75)</f>
        <v>33756310</v>
      </c>
      <c r="AS76" s="810">
        <f>SUM(AS7:AS75)</f>
        <v>3883182323</v>
      </c>
      <c r="AT76" s="810">
        <f>ROUND(AS76/'3_Levels 1&amp;2'!C76,2)</f>
        <v>5833.68</v>
      </c>
    </row>
    <row r="77" spans="1:46" ht="13.5" thickTop="1" x14ac:dyDescent="0.2"/>
  </sheetData>
  <sheetProtection password="D893" sheet="1" objects="1" scenarios="1" formatCells="0" formatColumns="0" formatRows="0"/>
  <mergeCells count="50">
    <mergeCell ref="AP2:AP3"/>
    <mergeCell ref="AQ2:AQ3"/>
    <mergeCell ref="AH2:AH3"/>
    <mergeCell ref="AI2:AI3"/>
    <mergeCell ref="AJ2:AJ3"/>
    <mergeCell ref="AL2:AL3"/>
    <mergeCell ref="AM2:AM3"/>
    <mergeCell ref="AN2:AN3"/>
    <mergeCell ref="V2:V3"/>
    <mergeCell ref="W2:W3"/>
    <mergeCell ref="Y2:Y3"/>
    <mergeCell ref="Z2:Z3"/>
    <mergeCell ref="AA2:AA3"/>
    <mergeCell ref="P2:P3"/>
    <mergeCell ref="R2:R3"/>
    <mergeCell ref="S2:S3"/>
    <mergeCell ref="T2:T3"/>
    <mergeCell ref="U2:U3"/>
    <mergeCell ref="AR1:AR3"/>
    <mergeCell ref="AS1:AS3"/>
    <mergeCell ref="AT1:AT3"/>
    <mergeCell ref="C2:C3"/>
    <mergeCell ref="D2:D3"/>
    <mergeCell ref="E2:E3"/>
    <mergeCell ref="F2:F3"/>
    <mergeCell ref="G2:G3"/>
    <mergeCell ref="I2:I3"/>
    <mergeCell ref="J2:J3"/>
    <mergeCell ref="X1:X3"/>
    <mergeCell ref="Y1:AE1"/>
    <mergeCell ref="AF1:AF3"/>
    <mergeCell ref="AG1:AJ1"/>
    <mergeCell ref="AK1:AK3"/>
    <mergeCell ref="AL1:AQ1"/>
    <mergeCell ref="AC2:AC3"/>
    <mergeCell ref="AD2:AD3"/>
    <mergeCell ref="AE2:AE3"/>
    <mergeCell ref="AG2:AG3"/>
    <mergeCell ref="A1:B3"/>
    <mergeCell ref="C1:H1"/>
    <mergeCell ref="I1:J1"/>
    <mergeCell ref="K1:P1"/>
    <mergeCell ref="Q1:Q3"/>
    <mergeCell ref="R1:W1"/>
    <mergeCell ref="K2:K3"/>
    <mergeCell ref="L2:L3"/>
    <mergeCell ref="M2:M3"/>
    <mergeCell ref="N2:N3"/>
    <mergeCell ref="AB2:AB3"/>
    <mergeCell ref="O2:O3"/>
  </mergeCells>
  <conditionalFormatting sqref="H7:H11 H75">
    <cfRule type="expression" dxfId="55" priority="56">
      <formula>G7&gt;$H$3</formula>
    </cfRule>
  </conditionalFormatting>
  <conditionalFormatting sqref="G7:G11 G75">
    <cfRule type="expression" dxfId="54" priority="55">
      <formula>G7&gt;$H$3</formula>
    </cfRule>
  </conditionalFormatting>
  <conditionalFormatting sqref="AN7:AN11 AN75">
    <cfRule type="expression" dxfId="53" priority="54">
      <formula>AN7&gt;$AO$3</formula>
    </cfRule>
  </conditionalFormatting>
  <conditionalFormatting sqref="AO75">
    <cfRule type="expression" dxfId="52" priority="53">
      <formula>AN75&gt;$AO$3</formula>
    </cfRule>
  </conditionalFormatting>
  <conditionalFormatting sqref="H12:H16">
    <cfRule type="expression" dxfId="51" priority="52">
      <formula>G12&gt;$H$3</formula>
    </cfRule>
  </conditionalFormatting>
  <conditionalFormatting sqref="G12:G16">
    <cfRule type="expression" dxfId="50" priority="51">
      <formula>G12&gt;$H$3</formula>
    </cfRule>
  </conditionalFormatting>
  <conditionalFormatting sqref="AN12:AN16">
    <cfRule type="expression" dxfId="49" priority="50">
      <formula>AN12&gt;$AO$3</formula>
    </cfRule>
  </conditionalFormatting>
  <conditionalFormatting sqref="AO12:AO16">
    <cfRule type="expression" dxfId="48" priority="49">
      <formula>AN12&gt;$AO$3</formula>
    </cfRule>
  </conditionalFormatting>
  <conditionalFormatting sqref="H17:H21">
    <cfRule type="expression" dxfId="47" priority="48">
      <formula>G17&gt;$H$3</formula>
    </cfRule>
  </conditionalFormatting>
  <conditionalFormatting sqref="G17:G21">
    <cfRule type="expression" dxfId="46" priority="47">
      <formula>G17&gt;$H$3</formula>
    </cfRule>
  </conditionalFormatting>
  <conditionalFormatting sqref="AN17:AN21">
    <cfRule type="expression" dxfId="45" priority="46">
      <formula>AN17&gt;$AO$3</formula>
    </cfRule>
  </conditionalFormatting>
  <conditionalFormatting sqref="AO17:AO21">
    <cfRule type="expression" dxfId="44" priority="45">
      <formula>AN17&gt;$AO$3</formula>
    </cfRule>
  </conditionalFormatting>
  <conditionalFormatting sqref="H22:H26">
    <cfRule type="expression" dxfId="43" priority="44">
      <formula>G22&gt;$H$3</formula>
    </cfRule>
  </conditionalFormatting>
  <conditionalFormatting sqref="G22:G26">
    <cfRule type="expression" dxfId="42" priority="43">
      <formula>G22&gt;$H$3</formula>
    </cfRule>
  </conditionalFormatting>
  <conditionalFormatting sqref="AN22:AN26">
    <cfRule type="expression" dxfId="41" priority="42">
      <formula>AN22&gt;$AO$3</formula>
    </cfRule>
  </conditionalFormatting>
  <conditionalFormatting sqref="AO22:AO26">
    <cfRule type="expression" dxfId="40" priority="41">
      <formula>AN22&gt;$AO$3</formula>
    </cfRule>
  </conditionalFormatting>
  <conditionalFormatting sqref="H27:H31">
    <cfRule type="expression" dxfId="39" priority="40">
      <formula>G27&gt;$H$3</formula>
    </cfRule>
  </conditionalFormatting>
  <conditionalFormatting sqref="G27:G31">
    <cfRule type="expression" dxfId="38" priority="39">
      <formula>G27&gt;$H$3</formula>
    </cfRule>
  </conditionalFormatting>
  <conditionalFormatting sqref="AN27:AN31">
    <cfRule type="expression" dxfId="37" priority="38">
      <formula>AN27&gt;$AO$3</formula>
    </cfRule>
  </conditionalFormatting>
  <conditionalFormatting sqref="AO27:AO31">
    <cfRule type="expression" dxfId="36" priority="37">
      <formula>AN27&gt;$AO$3</formula>
    </cfRule>
  </conditionalFormatting>
  <conditionalFormatting sqref="H32:H36">
    <cfRule type="expression" dxfId="35" priority="36">
      <formula>G32&gt;$H$3</formula>
    </cfRule>
  </conditionalFormatting>
  <conditionalFormatting sqref="G32:G36">
    <cfRule type="expression" dxfId="34" priority="35">
      <formula>G32&gt;$H$3</formula>
    </cfRule>
  </conditionalFormatting>
  <conditionalFormatting sqref="AN32:AN36">
    <cfRule type="expression" dxfId="33" priority="34">
      <formula>AN32&gt;$AO$3</formula>
    </cfRule>
  </conditionalFormatting>
  <conditionalFormatting sqref="AO32:AO36">
    <cfRule type="expression" dxfId="32" priority="33">
      <formula>AN32&gt;$AO$3</formula>
    </cfRule>
  </conditionalFormatting>
  <conditionalFormatting sqref="H37:H41">
    <cfRule type="expression" dxfId="31" priority="32">
      <formula>G37&gt;$H$3</formula>
    </cfRule>
  </conditionalFormatting>
  <conditionalFormatting sqref="G37:G41">
    <cfRule type="expression" dxfId="30" priority="31">
      <formula>G37&gt;$H$3</formula>
    </cfRule>
  </conditionalFormatting>
  <conditionalFormatting sqref="AN37:AN41">
    <cfRule type="expression" dxfId="29" priority="30">
      <formula>AN37&gt;$AO$3</formula>
    </cfRule>
  </conditionalFormatting>
  <conditionalFormatting sqref="AO37:AO41">
    <cfRule type="expression" dxfId="28" priority="29">
      <formula>AN37&gt;$AO$3</formula>
    </cfRule>
  </conditionalFormatting>
  <conditionalFormatting sqref="H42:H46">
    <cfRule type="expression" dxfId="27" priority="28">
      <formula>G42&gt;$H$3</formula>
    </cfRule>
  </conditionalFormatting>
  <conditionalFormatting sqref="G42:G46">
    <cfRule type="expression" dxfId="26" priority="27">
      <formula>G42&gt;$H$3</formula>
    </cfRule>
  </conditionalFormatting>
  <conditionalFormatting sqref="AN42:AN46">
    <cfRule type="expression" dxfId="25" priority="26">
      <formula>AN42&gt;$AO$3</formula>
    </cfRule>
  </conditionalFormatting>
  <conditionalFormatting sqref="AO42:AO46">
    <cfRule type="expression" dxfId="24" priority="25">
      <formula>AN42&gt;$AO$3</formula>
    </cfRule>
  </conditionalFormatting>
  <conditionalFormatting sqref="H47:H51">
    <cfRule type="expression" dxfId="23" priority="24">
      <formula>G47&gt;$H$3</formula>
    </cfRule>
  </conditionalFormatting>
  <conditionalFormatting sqref="G47:G51">
    <cfRule type="expression" dxfId="22" priority="23">
      <formula>G47&gt;$H$3</formula>
    </cfRule>
  </conditionalFormatting>
  <conditionalFormatting sqref="AN47:AN51">
    <cfRule type="expression" dxfId="21" priority="22">
      <formula>AN47&gt;$AO$3</formula>
    </cfRule>
  </conditionalFormatting>
  <conditionalFormatting sqref="AO47:AO51">
    <cfRule type="expression" dxfId="20" priority="21">
      <formula>AN47&gt;$AO$3</formula>
    </cfRule>
  </conditionalFormatting>
  <conditionalFormatting sqref="H52:H56">
    <cfRule type="expression" dxfId="19" priority="20">
      <formula>G52&gt;$H$3</formula>
    </cfRule>
  </conditionalFormatting>
  <conditionalFormatting sqref="G52:G56">
    <cfRule type="expression" dxfId="18" priority="19">
      <formula>G52&gt;$H$3</formula>
    </cfRule>
  </conditionalFormatting>
  <conditionalFormatting sqref="AN52:AN56">
    <cfRule type="expression" dxfId="17" priority="18">
      <formula>AN52&gt;$AO$3</formula>
    </cfRule>
  </conditionalFormatting>
  <conditionalFormatting sqref="AO52:AO56">
    <cfRule type="expression" dxfId="16" priority="17">
      <formula>AN52&gt;$AO$3</formula>
    </cfRule>
  </conditionalFormatting>
  <conditionalFormatting sqref="H57:H61">
    <cfRule type="expression" dxfId="15" priority="16">
      <formula>G57&gt;$H$3</formula>
    </cfRule>
  </conditionalFormatting>
  <conditionalFormatting sqref="G57:G61">
    <cfRule type="expression" dxfId="14" priority="15">
      <formula>G57&gt;$H$3</formula>
    </cfRule>
  </conditionalFormatting>
  <conditionalFormatting sqref="AN57:AN61">
    <cfRule type="expression" dxfId="13" priority="14">
      <formula>AN57&gt;$AO$3</formula>
    </cfRule>
  </conditionalFormatting>
  <conditionalFormatting sqref="AO57:AO61">
    <cfRule type="expression" dxfId="12" priority="13">
      <formula>AN57&gt;$AO$3</formula>
    </cfRule>
  </conditionalFormatting>
  <conditionalFormatting sqref="H62:H66">
    <cfRule type="expression" dxfId="11" priority="12">
      <formula>G62&gt;$H$3</formula>
    </cfRule>
  </conditionalFormatting>
  <conditionalFormatting sqref="G62:G66">
    <cfRule type="expression" dxfId="10" priority="11">
      <formula>G62&gt;$H$3</formula>
    </cfRule>
  </conditionalFormatting>
  <conditionalFormatting sqref="AN62:AN66">
    <cfRule type="expression" dxfId="9" priority="10">
      <formula>AN62&gt;$AO$3</formula>
    </cfRule>
  </conditionalFormatting>
  <conditionalFormatting sqref="AO62:AO66">
    <cfRule type="expression" dxfId="8" priority="9">
      <formula>AN62&gt;$AO$3</formula>
    </cfRule>
  </conditionalFormatting>
  <conditionalFormatting sqref="H67:H71">
    <cfRule type="expression" dxfId="7" priority="8">
      <formula>G67&gt;$H$3</formula>
    </cfRule>
  </conditionalFormatting>
  <conditionalFormatting sqref="G67:G71">
    <cfRule type="expression" dxfId="6" priority="7">
      <formula>G67&gt;$H$3</formula>
    </cfRule>
  </conditionalFormatting>
  <conditionalFormatting sqref="AN67:AN71">
    <cfRule type="expression" dxfId="5" priority="6">
      <formula>AN67&gt;$AO$3</formula>
    </cfRule>
  </conditionalFormatting>
  <conditionalFormatting sqref="AO67:AO71">
    <cfRule type="expression" dxfId="4" priority="5">
      <formula>AN67&gt;$AO$3</formula>
    </cfRule>
  </conditionalFormatting>
  <conditionalFormatting sqref="H72:H74">
    <cfRule type="expression" dxfId="3" priority="4">
      <formula>G72&gt;$H$3</formula>
    </cfRule>
  </conditionalFormatting>
  <conditionalFormatting sqref="G72:G74">
    <cfRule type="expression" dxfId="2" priority="3">
      <formula>G72&gt;$H$3</formula>
    </cfRule>
  </conditionalFormatting>
  <conditionalFormatting sqref="AN72:AN74">
    <cfRule type="expression" dxfId="1" priority="2">
      <formula>AN72&gt;$AO$3</formula>
    </cfRule>
  </conditionalFormatting>
  <conditionalFormatting sqref="AO72:AO74">
    <cfRule type="expression" dxfId="0" priority="1">
      <formula>AN72&gt;$AO$3</formula>
    </cfRule>
  </conditionalFormatting>
  <printOptions horizontalCentered="1"/>
  <pageMargins left="0.25" right="0.25" top="0.97" bottom="0.25" header="0.38" footer="0.27"/>
  <pageSetup paperSize="5" scale="75" firstPageNumber="97" fitToWidth="0" orientation="portrait" r:id="rId1"/>
  <headerFooter alignWithMargins="0">
    <oddHeader>&amp;L&amp;"Arial,Bold"&amp;18&amp;K000000Table 7: FY2021-22 Budget Letter
FY2019-20 Local Property and Sales Tax Revenues</oddHeader>
    <oddFooter>&amp;R&amp;P</oddFooter>
  </headerFooter>
  <colBreaks count="6" manualBreakCount="6">
    <brk id="8" max="74" man="1"/>
    <brk id="17" max="74" man="1"/>
    <brk id="24" max="74" man="1"/>
    <brk id="32" max="74" man="1"/>
    <brk id="37" max="74" man="1"/>
    <brk id="43" max="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BI77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4" style="859" bestFit="1" customWidth="1"/>
    <col min="2" max="2" width="31" style="859" bestFit="1" customWidth="1"/>
    <col min="3" max="17" width="13.28515625" style="859" customWidth="1"/>
    <col min="18" max="18" width="12.28515625" style="859" hidden="1" customWidth="1"/>
    <col min="19" max="25" width="13.28515625" style="859" customWidth="1"/>
    <col min="26" max="26" width="13.28515625" style="859" hidden="1" customWidth="1"/>
    <col min="27" max="27" width="13.28515625" style="859" customWidth="1"/>
    <col min="28" max="28" width="13.140625" style="859" customWidth="1"/>
    <col min="29" max="31" width="13.28515625" style="859" hidden="1" customWidth="1"/>
    <col min="32" max="32" width="12.28515625" style="859" hidden="1" customWidth="1"/>
    <col min="33" max="35" width="13.28515625" style="859" customWidth="1"/>
    <col min="36" max="36" width="13.28515625" style="859" hidden="1" customWidth="1"/>
    <col min="37" max="40" width="13.28515625" style="859" customWidth="1"/>
    <col min="41" max="45" width="13" style="859" hidden="1" customWidth="1"/>
    <col min="46" max="61" width="13.28515625" style="859" customWidth="1"/>
    <col min="62" max="16384" width="8.85546875" style="859"/>
  </cols>
  <sheetData>
    <row r="1" spans="1:61" s="823" customFormat="1" ht="18.75" customHeight="1" x14ac:dyDescent="0.2">
      <c r="A1" s="1128" t="s">
        <v>1007</v>
      </c>
      <c r="B1" s="1128"/>
      <c r="C1" s="1129" t="s">
        <v>1008</v>
      </c>
      <c r="D1" s="1130" t="s">
        <v>1009</v>
      </c>
      <c r="E1" s="1131" t="s">
        <v>1010</v>
      </c>
      <c r="F1" s="1132"/>
      <c r="G1" s="1132"/>
      <c r="H1" s="1132"/>
      <c r="I1" s="1133"/>
      <c r="J1" s="1134" t="s">
        <v>1010</v>
      </c>
      <c r="K1" s="1134"/>
      <c r="L1" s="1134"/>
      <c r="M1" s="1134"/>
      <c r="N1" s="1134"/>
      <c r="O1" s="1134"/>
      <c r="P1" s="1134"/>
      <c r="Q1" s="1134" t="s">
        <v>1010</v>
      </c>
      <c r="R1" s="1134"/>
      <c r="S1" s="1134"/>
      <c r="T1" s="1134"/>
      <c r="U1" s="1134"/>
      <c r="V1" s="1134"/>
      <c r="W1" s="1134"/>
      <c r="X1" s="1134"/>
      <c r="Y1" s="1134" t="s">
        <v>1010</v>
      </c>
      <c r="Z1" s="1134"/>
      <c r="AA1" s="1134"/>
      <c r="AB1" s="1134"/>
      <c r="AC1" s="1134"/>
      <c r="AD1" s="1134"/>
      <c r="AE1" s="1134"/>
      <c r="AF1" s="1134"/>
      <c r="AG1" s="1134"/>
      <c r="AH1" s="1134"/>
      <c r="AI1" s="1134"/>
      <c r="AJ1" s="1134"/>
      <c r="AK1" s="1134" t="s">
        <v>1010</v>
      </c>
      <c r="AL1" s="1134"/>
      <c r="AM1" s="1134"/>
      <c r="AN1" s="1134"/>
      <c r="AO1" s="1134"/>
      <c r="AP1" s="1134"/>
      <c r="AQ1" s="1134"/>
      <c r="AR1" s="1134"/>
      <c r="AS1" s="1134"/>
      <c r="AT1" s="1134"/>
      <c r="AU1" s="1134"/>
      <c r="AV1" s="1127" t="s">
        <v>1011</v>
      </c>
      <c r="AW1" s="1135" t="s">
        <v>1012</v>
      </c>
      <c r="AX1" s="1135"/>
      <c r="AY1" s="1135"/>
      <c r="AZ1" s="1135"/>
      <c r="BA1" s="1135"/>
      <c r="BB1" s="1135"/>
      <c r="BC1" s="1135"/>
      <c r="BD1" s="1136" t="s">
        <v>1013</v>
      </c>
      <c r="BE1" s="1136"/>
      <c r="BF1" s="1136"/>
      <c r="BG1" s="1136"/>
      <c r="BH1" s="1136"/>
      <c r="BI1" s="1127" t="s">
        <v>1014</v>
      </c>
    </row>
    <row r="2" spans="1:61" s="829" customFormat="1" ht="69.75" customHeight="1" x14ac:dyDescent="0.2">
      <c r="A2" s="1128"/>
      <c r="B2" s="1128"/>
      <c r="C2" s="1129"/>
      <c r="D2" s="1130"/>
      <c r="E2" s="824" t="s">
        <v>1015</v>
      </c>
      <c r="F2" s="824" t="s">
        <v>1016</v>
      </c>
      <c r="G2" s="824" t="s">
        <v>1017</v>
      </c>
      <c r="H2" s="824" t="s">
        <v>1018</v>
      </c>
      <c r="I2" s="824" t="s">
        <v>1019</v>
      </c>
      <c r="J2" s="824" t="s">
        <v>1020</v>
      </c>
      <c r="K2" s="824" t="s">
        <v>1021</v>
      </c>
      <c r="L2" s="824" t="s">
        <v>1022</v>
      </c>
      <c r="M2" s="824" t="s">
        <v>1023</v>
      </c>
      <c r="N2" s="824" t="s">
        <v>1024</v>
      </c>
      <c r="O2" s="824" t="s">
        <v>1025</v>
      </c>
      <c r="P2" s="824" t="s">
        <v>1026</v>
      </c>
      <c r="Q2" s="824" t="s">
        <v>1027</v>
      </c>
      <c r="R2" s="825" t="s">
        <v>1028</v>
      </c>
      <c r="S2" s="824" t="s">
        <v>1029</v>
      </c>
      <c r="T2" s="824" t="s">
        <v>1030</v>
      </c>
      <c r="U2" s="824" t="s">
        <v>1031</v>
      </c>
      <c r="V2" s="824" t="s">
        <v>1032</v>
      </c>
      <c r="W2" s="824" t="s">
        <v>1033</v>
      </c>
      <c r="X2" s="824" t="s">
        <v>1034</v>
      </c>
      <c r="Y2" s="824" t="s">
        <v>1035</v>
      </c>
      <c r="Z2" s="825" t="s">
        <v>1028</v>
      </c>
      <c r="AA2" s="824" t="s">
        <v>1036</v>
      </c>
      <c r="AB2" s="824" t="s">
        <v>1037</v>
      </c>
      <c r="AC2" s="825" t="s">
        <v>1028</v>
      </c>
      <c r="AD2" s="825" t="s">
        <v>1028</v>
      </c>
      <c r="AE2" s="825" t="s">
        <v>1028</v>
      </c>
      <c r="AF2" s="825" t="s">
        <v>1028</v>
      </c>
      <c r="AG2" s="824" t="s">
        <v>1038</v>
      </c>
      <c r="AH2" s="824" t="s">
        <v>1039</v>
      </c>
      <c r="AI2" s="824" t="s">
        <v>1040</v>
      </c>
      <c r="AJ2" s="825" t="s">
        <v>1028</v>
      </c>
      <c r="AK2" s="824" t="s">
        <v>1041</v>
      </c>
      <c r="AL2" s="824" t="s">
        <v>1042</v>
      </c>
      <c r="AM2" s="824" t="s">
        <v>1043</v>
      </c>
      <c r="AN2" s="824" t="s">
        <v>1044</v>
      </c>
      <c r="AO2" s="825" t="s">
        <v>1028</v>
      </c>
      <c r="AP2" s="825" t="s">
        <v>1028</v>
      </c>
      <c r="AQ2" s="825" t="s">
        <v>1028</v>
      </c>
      <c r="AR2" s="825" t="s">
        <v>1028</v>
      </c>
      <c r="AS2" s="825" t="s">
        <v>1028</v>
      </c>
      <c r="AT2" s="824" t="s">
        <v>1045</v>
      </c>
      <c r="AU2" s="824" t="s">
        <v>1046</v>
      </c>
      <c r="AV2" s="1127"/>
      <c r="AW2" s="826" t="s">
        <v>1047</v>
      </c>
      <c r="AX2" s="826" t="s">
        <v>1048</v>
      </c>
      <c r="AY2" s="826" t="s">
        <v>1049</v>
      </c>
      <c r="AZ2" s="826" t="s">
        <v>1050</v>
      </c>
      <c r="BA2" s="826" t="s">
        <v>1051</v>
      </c>
      <c r="BB2" s="826" t="s">
        <v>1052</v>
      </c>
      <c r="BC2" s="826" t="s">
        <v>1053</v>
      </c>
      <c r="BD2" s="827" t="s">
        <v>1054</v>
      </c>
      <c r="BE2" s="827" t="s">
        <v>1055</v>
      </c>
      <c r="BF2" s="828" t="s">
        <v>1056</v>
      </c>
      <c r="BG2" s="828" t="s">
        <v>1057</v>
      </c>
      <c r="BH2" s="828" t="s">
        <v>1058</v>
      </c>
      <c r="BI2" s="1127"/>
    </row>
    <row r="3" spans="1:61" s="829" customFormat="1" ht="15" customHeight="1" x14ac:dyDescent="0.2">
      <c r="A3" s="1128"/>
      <c r="B3" s="1128"/>
      <c r="C3" s="1129"/>
      <c r="D3" s="1130"/>
      <c r="E3" s="830">
        <v>343001</v>
      </c>
      <c r="F3" s="830">
        <v>341001</v>
      </c>
      <c r="G3" s="830">
        <v>344001</v>
      </c>
      <c r="H3" s="830">
        <v>348001</v>
      </c>
      <c r="I3" s="830">
        <v>347001</v>
      </c>
      <c r="J3" s="830">
        <v>346001</v>
      </c>
      <c r="K3" s="830" t="s">
        <v>589</v>
      </c>
      <c r="L3" s="830" t="s">
        <v>587</v>
      </c>
      <c r="M3" s="830" t="s">
        <v>579</v>
      </c>
      <c r="N3" s="830" t="s">
        <v>559</v>
      </c>
      <c r="O3" s="830" t="s">
        <v>603</v>
      </c>
      <c r="P3" s="830" t="s">
        <v>571</v>
      </c>
      <c r="Q3" s="830" t="s">
        <v>583</v>
      </c>
      <c r="R3" s="830" t="s">
        <v>761</v>
      </c>
      <c r="S3" s="830" t="s">
        <v>561</v>
      </c>
      <c r="T3" s="830" t="s">
        <v>569</v>
      </c>
      <c r="U3" s="830" t="s">
        <v>573</v>
      </c>
      <c r="V3" s="830" t="s">
        <v>575</v>
      </c>
      <c r="W3" s="830" t="s">
        <v>577</v>
      </c>
      <c r="X3" s="830" t="s">
        <v>581</v>
      </c>
      <c r="Y3" s="830" t="s">
        <v>565</v>
      </c>
      <c r="Z3" s="830" t="s">
        <v>761</v>
      </c>
      <c r="AA3" s="830" t="s">
        <v>591</v>
      </c>
      <c r="AB3" s="830" t="s">
        <v>567</v>
      </c>
      <c r="AC3" s="830" t="s">
        <v>761</v>
      </c>
      <c r="AD3" s="830" t="s">
        <v>761</v>
      </c>
      <c r="AE3" s="830" t="s">
        <v>761</v>
      </c>
      <c r="AF3" s="830" t="s">
        <v>761</v>
      </c>
      <c r="AG3" s="830" t="s">
        <v>557</v>
      </c>
      <c r="AH3" s="830" t="s">
        <v>563</v>
      </c>
      <c r="AI3" s="830" t="s">
        <v>601</v>
      </c>
      <c r="AJ3" s="830" t="s">
        <v>761</v>
      </c>
      <c r="AK3" s="830" t="s">
        <v>593</v>
      </c>
      <c r="AL3" s="830" t="s">
        <v>595</v>
      </c>
      <c r="AM3" s="830" t="s">
        <v>597</v>
      </c>
      <c r="AN3" s="830" t="s">
        <v>599</v>
      </c>
      <c r="AO3" s="830" t="s">
        <v>761</v>
      </c>
      <c r="AP3" s="830" t="s">
        <v>761</v>
      </c>
      <c r="AQ3" s="830" t="s">
        <v>761</v>
      </c>
      <c r="AR3" s="830" t="s">
        <v>761</v>
      </c>
      <c r="AS3" s="830" t="s">
        <v>761</v>
      </c>
      <c r="AT3" s="830" t="s">
        <v>585</v>
      </c>
      <c r="AU3" s="830">
        <v>345001</v>
      </c>
      <c r="AV3" s="1127"/>
      <c r="AW3" s="831">
        <v>321001</v>
      </c>
      <c r="AX3" s="831">
        <v>329001</v>
      </c>
      <c r="AY3" s="831">
        <v>331001</v>
      </c>
      <c r="AZ3" s="831">
        <v>333001</v>
      </c>
      <c r="BA3" s="831">
        <v>336001</v>
      </c>
      <c r="BB3" s="831">
        <v>337001</v>
      </c>
      <c r="BC3" s="831">
        <v>340001</v>
      </c>
      <c r="BD3" s="832">
        <v>318</v>
      </c>
      <c r="BE3" s="832">
        <v>319</v>
      </c>
      <c r="BF3" s="833">
        <v>302006</v>
      </c>
      <c r="BG3" s="833">
        <v>334001</v>
      </c>
      <c r="BH3" s="833" t="s">
        <v>533</v>
      </c>
      <c r="BI3" s="1127"/>
    </row>
    <row r="4" spans="1:61" s="829" customFormat="1" ht="13.9" customHeight="1" x14ac:dyDescent="0.2">
      <c r="A4" s="755"/>
      <c r="B4" s="755"/>
      <c r="C4" s="755">
        <f>B4+1</f>
        <v>1</v>
      </c>
      <c r="D4" s="755">
        <f t="shared" ref="D4:BI4" si="0">C4+1</f>
        <v>2</v>
      </c>
      <c r="E4" s="755">
        <f t="shared" si="0"/>
        <v>3</v>
      </c>
      <c r="F4" s="755">
        <f t="shared" si="0"/>
        <v>4</v>
      </c>
      <c r="G4" s="755">
        <f t="shared" si="0"/>
        <v>5</v>
      </c>
      <c r="H4" s="755">
        <f t="shared" si="0"/>
        <v>6</v>
      </c>
      <c r="I4" s="755">
        <f t="shared" si="0"/>
        <v>7</v>
      </c>
      <c r="J4" s="755">
        <f t="shared" si="0"/>
        <v>8</v>
      </c>
      <c r="K4" s="755">
        <f t="shared" si="0"/>
        <v>9</v>
      </c>
      <c r="L4" s="755">
        <f t="shared" si="0"/>
        <v>10</v>
      </c>
      <c r="M4" s="755">
        <f t="shared" si="0"/>
        <v>11</v>
      </c>
      <c r="N4" s="755">
        <f t="shared" si="0"/>
        <v>12</v>
      </c>
      <c r="O4" s="755">
        <f t="shared" si="0"/>
        <v>13</v>
      </c>
      <c r="P4" s="755">
        <f t="shared" si="0"/>
        <v>14</v>
      </c>
      <c r="Q4" s="755">
        <f t="shared" si="0"/>
        <v>15</v>
      </c>
      <c r="R4" s="755">
        <v>15</v>
      </c>
      <c r="S4" s="755">
        <f t="shared" si="0"/>
        <v>16</v>
      </c>
      <c r="T4" s="755">
        <f t="shared" si="0"/>
        <v>17</v>
      </c>
      <c r="U4" s="755">
        <f t="shared" si="0"/>
        <v>18</v>
      </c>
      <c r="V4" s="755">
        <f t="shared" si="0"/>
        <v>19</v>
      </c>
      <c r="W4" s="755">
        <f t="shared" si="0"/>
        <v>20</v>
      </c>
      <c r="X4" s="755">
        <f t="shared" si="0"/>
        <v>21</v>
      </c>
      <c r="Y4" s="755">
        <f t="shared" si="0"/>
        <v>22</v>
      </c>
      <c r="Z4" s="755">
        <v>22</v>
      </c>
      <c r="AA4" s="755">
        <f t="shared" si="0"/>
        <v>23</v>
      </c>
      <c r="AB4" s="755">
        <f t="shared" si="0"/>
        <v>24</v>
      </c>
      <c r="AC4" s="755"/>
      <c r="AD4" s="755"/>
      <c r="AE4" s="755">
        <v>24</v>
      </c>
      <c r="AF4" s="755">
        <v>24</v>
      </c>
      <c r="AG4" s="755">
        <f t="shared" ref="AG4:AL4" si="1">AF4+1</f>
        <v>25</v>
      </c>
      <c r="AH4" s="755">
        <f t="shared" si="1"/>
        <v>26</v>
      </c>
      <c r="AI4" s="755">
        <f t="shared" si="1"/>
        <v>27</v>
      </c>
      <c r="AJ4" s="755">
        <v>27</v>
      </c>
      <c r="AK4" s="755">
        <f>AJ4+1</f>
        <v>28</v>
      </c>
      <c r="AL4" s="755">
        <f t="shared" si="1"/>
        <v>29</v>
      </c>
      <c r="AM4" s="755">
        <f>AL4+1</f>
        <v>30</v>
      </c>
      <c r="AN4" s="755">
        <f>AM4+1</f>
        <v>31</v>
      </c>
      <c r="AO4" s="755"/>
      <c r="AP4" s="755"/>
      <c r="AQ4" s="755"/>
      <c r="AR4" s="755"/>
      <c r="AS4" s="755">
        <v>31</v>
      </c>
      <c r="AT4" s="755">
        <f t="shared" si="0"/>
        <v>32</v>
      </c>
      <c r="AU4" s="755">
        <f t="shared" si="0"/>
        <v>33</v>
      </c>
      <c r="AV4" s="755">
        <f t="shared" si="0"/>
        <v>34</v>
      </c>
      <c r="AW4" s="755">
        <f t="shared" si="0"/>
        <v>35</v>
      </c>
      <c r="AX4" s="755">
        <f t="shared" si="0"/>
        <v>36</v>
      </c>
      <c r="AY4" s="755">
        <f t="shared" si="0"/>
        <v>37</v>
      </c>
      <c r="AZ4" s="755">
        <f t="shared" si="0"/>
        <v>38</v>
      </c>
      <c r="BA4" s="755">
        <f t="shared" si="0"/>
        <v>39</v>
      </c>
      <c r="BB4" s="755">
        <f t="shared" si="0"/>
        <v>40</v>
      </c>
      <c r="BC4" s="755">
        <f t="shared" si="0"/>
        <v>41</v>
      </c>
      <c r="BD4" s="755">
        <f t="shared" si="0"/>
        <v>42</v>
      </c>
      <c r="BE4" s="755">
        <f t="shared" si="0"/>
        <v>43</v>
      </c>
      <c r="BF4" s="755">
        <f t="shared" si="0"/>
        <v>44</v>
      </c>
      <c r="BG4" s="755">
        <f t="shared" si="0"/>
        <v>45</v>
      </c>
      <c r="BH4" s="755">
        <f t="shared" si="0"/>
        <v>46</v>
      </c>
      <c r="BI4" s="755">
        <f t="shared" si="0"/>
        <v>47</v>
      </c>
    </row>
    <row r="5" spans="1:61" s="829" customFormat="1" hidden="1" x14ac:dyDescent="0.2">
      <c r="A5" s="834"/>
      <c r="B5" s="834"/>
      <c r="C5" s="835" t="s">
        <v>1059</v>
      </c>
      <c r="D5" s="835" t="s">
        <v>1060</v>
      </c>
      <c r="E5" s="835" t="s">
        <v>1061</v>
      </c>
      <c r="F5" s="835" t="s">
        <v>1062</v>
      </c>
      <c r="G5" s="835" t="s">
        <v>1063</v>
      </c>
      <c r="H5" s="835" t="s">
        <v>1064</v>
      </c>
      <c r="I5" s="835" t="s">
        <v>1065</v>
      </c>
      <c r="J5" s="835" t="s">
        <v>1066</v>
      </c>
      <c r="K5" s="835" t="s">
        <v>1067</v>
      </c>
      <c r="L5" s="835" t="s">
        <v>1068</v>
      </c>
      <c r="M5" s="835" t="s">
        <v>1069</v>
      </c>
      <c r="N5" s="835" t="s">
        <v>1070</v>
      </c>
      <c r="O5" s="835" t="s">
        <v>1071</v>
      </c>
      <c r="P5" s="835" t="s">
        <v>1072</v>
      </c>
      <c r="Q5" s="835" t="s">
        <v>1073</v>
      </c>
      <c r="R5" s="835"/>
      <c r="S5" s="835" t="s">
        <v>1074</v>
      </c>
      <c r="T5" s="835" t="s">
        <v>1075</v>
      </c>
      <c r="U5" s="835" t="s">
        <v>1076</v>
      </c>
      <c r="V5" s="835" t="s">
        <v>1077</v>
      </c>
      <c r="W5" s="835" t="s">
        <v>1078</v>
      </c>
      <c r="X5" s="835" t="s">
        <v>1079</v>
      </c>
      <c r="Y5" s="835" t="s">
        <v>1080</v>
      </c>
      <c r="Z5" s="835"/>
      <c r="AA5" s="835" t="s">
        <v>1081</v>
      </c>
      <c r="AB5" s="835" t="s">
        <v>1082</v>
      </c>
      <c r="AC5" s="835" t="s">
        <v>1083</v>
      </c>
      <c r="AD5" s="835"/>
      <c r="AE5" s="835" t="s">
        <v>1084</v>
      </c>
      <c r="AF5" s="835" t="s">
        <v>1084</v>
      </c>
      <c r="AG5" s="835"/>
      <c r="AH5" s="835"/>
      <c r="AI5" s="835"/>
      <c r="AJ5" s="835"/>
      <c r="AK5" s="835"/>
      <c r="AL5" s="835"/>
      <c r="AM5" s="835"/>
      <c r="AN5" s="835"/>
      <c r="AO5" s="835"/>
      <c r="AP5" s="835"/>
      <c r="AQ5" s="835"/>
      <c r="AR5" s="835"/>
      <c r="AS5" s="835"/>
      <c r="AT5" s="835" t="s">
        <v>1085</v>
      </c>
      <c r="AU5" s="835" t="s">
        <v>1086</v>
      </c>
      <c r="AV5" s="835" t="s">
        <v>1087</v>
      </c>
      <c r="AW5" s="835" t="s">
        <v>1088</v>
      </c>
      <c r="AX5" s="835" t="s">
        <v>1089</v>
      </c>
      <c r="AY5" s="835" t="s">
        <v>1090</v>
      </c>
      <c r="AZ5" s="835" t="s">
        <v>1091</v>
      </c>
      <c r="BA5" s="835" t="s">
        <v>1092</v>
      </c>
      <c r="BB5" s="835" t="s">
        <v>1093</v>
      </c>
      <c r="BC5" s="835" t="s">
        <v>1094</v>
      </c>
      <c r="BD5" s="835" t="s">
        <v>1095</v>
      </c>
      <c r="BE5" s="835" t="s">
        <v>1096</v>
      </c>
      <c r="BF5" s="835" t="s">
        <v>1097</v>
      </c>
      <c r="BG5" s="835" t="s">
        <v>1098</v>
      </c>
      <c r="BH5" s="835"/>
      <c r="BI5" s="835" t="s">
        <v>1099</v>
      </c>
    </row>
    <row r="6" spans="1:61" s="829" customFormat="1" ht="51" hidden="1" x14ac:dyDescent="0.2">
      <c r="A6" s="834"/>
      <c r="B6" s="834"/>
      <c r="C6" s="836" t="s">
        <v>383</v>
      </c>
      <c r="D6" s="836" t="s">
        <v>383</v>
      </c>
      <c r="E6" s="836" t="s">
        <v>383</v>
      </c>
      <c r="F6" s="836" t="s">
        <v>383</v>
      </c>
      <c r="G6" s="836" t="s">
        <v>383</v>
      </c>
      <c r="H6" s="836" t="s">
        <v>383</v>
      </c>
      <c r="I6" s="836" t="s">
        <v>383</v>
      </c>
      <c r="J6" s="836" t="s">
        <v>383</v>
      </c>
      <c r="K6" s="836" t="s">
        <v>383</v>
      </c>
      <c r="L6" s="836" t="s">
        <v>383</v>
      </c>
      <c r="M6" s="836" t="s">
        <v>383</v>
      </c>
      <c r="N6" s="836" t="s">
        <v>383</v>
      </c>
      <c r="O6" s="836" t="s">
        <v>383</v>
      </c>
      <c r="P6" s="836" t="s">
        <v>383</v>
      </c>
      <c r="Q6" s="836" t="s">
        <v>383</v>
      </c>
      <c r="R6" s="836"/>
      <c r="S6" s="836" t="s">
        <v>383</v>
      </c>
      <c r="T6" s="836" t="s">
        <v>383</v>
      </c>
      <c r="U6" s="836" t="s">
        <v>383</v>
      </c>
      <c r="V6" s="836" t="s">
        <v>383</v>
      </c>
      <c r="W6" s="836" t="s">
        <v>383</v>
      </c>
      <c r="X6" s="836" t="s">
        <v>383</v>
      </c>
      <c r="Y6" s="836" t="s">
        <v>383</v>
      </c>
      <c r="Z6" s="836"/>
      <c r="AA6" s="836" t="s">
        <v>383</v>
      </c>
      <c r="AB6" s="836" t="s">
        <v>383</v>
      </c>
      <c r="AC6" s="836" t="s">
        <v>383</v>
      </c>
      <c r="AD6" s="836"/>
      <c r="AE6" s="836" t="s">
        <v>383</v>
      </c>
      <c r="AF6" s="836" t="s">
        <v>383</v>
      </c>
      <c r="AG6" s="836"/>
      <c r="AH6" s="836"/>
      <c r="AI6" s="836"/>
      <c r="AJ6" s="836"/>
      <c r="AK6" s="836"/>
      <c r="AL6" s="836"/>
      <c r="AM6" s="836"/>
      <c r="AN6" s="836"/>
      <c r="AO6" s="836"/>
      <c r="AP6" s="836"/>
      <c r="AQ6" s="836"/>
      <c r="AR6" s="836"/>
      <c r="AS6" s="836"/>
      <c r="AT6" s="836" t="s">
        <v>383</v>
      </c>
      <c r="AU6" s="836" t="s">
        <v>383</v>
      </c>
      <c r="AV6" s="836" t="s">
        <v>74</v>
      </c>
      <c r="AW6" s="836" t="s">
        <v>383</v>
      </c>
      <c r="AX6" s="836" t="s">
        <v>383</v>
      </c>
      <c r="AY6" s="836" t="s">
        <v>383</v>
      </c>
      <c r="AZ6" s="836" t="s">
        <v>383</v>
      </c>
      <c r="BA6" s="836" t="s">
        <v>383</v>
      </c>
      <c r="BB6" s="836" t="s">
        <v>383</v>
      </c>
      <c r="BC6" s="836" t="s">
        <v>383</v>
      </c>
      <c r="BD6" s="836" t="s">
        <v>383</v>
      </c>
      <c r="BE6" s="836" t="s">
        <v>383</v>
      </c>
      <c r="BF6" s="836" t="s">
        <v>383</v>
      </c>
      <c r="BG6" s="836" t="s">
        <v>383</v>
      </c>
      <c r="BH6" s="836"/>
      <c r="BI6" s="836" t="s">
        <v>74</v>
      </c>
    </row>
    <row r="7" spans="1:61" s="841" customFormat="1" ht="16.149999999999999" customHeight="1" x14ac:dyDescent="0.2">
      <c r="A7" s="837" t="s">
        <v>1100</v>
      </c>
      <c r="B7" s="838" t="s">
        <v>1101</v>
      </c>
      <c r="C7" s="839">
        <v>9201</v>
      </c>
      <c r="D7" s="839">
        <v>0</v>
      </c>
      <c r="E7" s="839">
        <v>0</v>
      </c>
      <c r="F7" s="839">
        <v>0</v>
      </c>
      <c r="G7" s="839">
        <v>0</v>
      </c>
      <c r="H7" s="839">
        <v>0</v>
      </c>
      <c r="I7" s="839">
        <v>0</v>
      </c>
      <c r="J7" s="839">
        <v>0</v>
      </c>
      <c r="K7" s="839">
        <v>0</v>
      </c>
      <c r="L7" s="839">
        <v>0</v>
      </c>
      <c r="M7" s="839">
        <v>0</v>
      </c>
      <c r="N7" s="839">
        <v>0</v>
      </c>
      <c r="O7" s="839">
        <v>0</v>
      </c>
      <c r="P7" s="839">
        <v>0</v>
      </c>
      <c r="Q7" s="839">
        <v>0</v>
      </c>
      <c r="R7" s="839">
        <v>0</v>
      </c>
      <c r="S7" s="839">
        <v>0</v>
      </c>
      <c r="T7" s="839">
        <v>0</v>
      </c>
      <c r="U7" s="839">
        <v>0</v>
      </c>
      <c r="V7" s="839">
        <v>0</v>
      </c>
      <c r="W7" s="839">
        <v>6</v>
      </c>
      <c r="X7" s="839">
        <v>24</v>
      </c>
      <c r="Y7" s="839">
        <v>6</v>
      </c>
      <c r="Z7" s="839">
        <v>0</v>
      </c>
      <c r="AA7" s="839">
        <v>0</v>
      </c>
      <c r="AB7" s="839">
        <v>0</v>
      </c>
      <c r="AC7" s="839">
        <v>0</v>
      </c>
      <c r="AD7" s="839">
        <v>0</v>
      </c>
      <c r="AE7" s="839">
        <v>0</v>
      </c>
      <c r="AF7" s="839">
        <v>0</v>
      </c>
      <c r="AG7" s="839">
        <v>0</v>
      </c>
      <c r="AH7" s="839">
        <v>2</v>
      </c>
      <c r="AI7" s="839">
        <v>0</v>
      </c>
      <c r="AJ7" s="839"/>
      <c r="AK7" s="839">
        <v>0</v>
      </c>
      <c r="AL7" s="839">
        <v>0</v>
      </c>
      <c r="AM7" s="839">
        <v>0</v>
      </c>
      <c r="AN7" s="839">
        <v>0</v>
      </c>
      <c r="AO7" s="839">
        <v>0</v>
      </c>
      <c r="AP7" s="839">
        <v>0</v>
      </c>
      <c r="AQ7" s="839">
        <v>0</v>
      </c>
      <c r="AR7" s="839">
        <v>0</v>
      </c>
      <c r="AS7" s="839">
        <v>0</v>
      </c>
      <c r="AT7" s="839">
        <v>27</v>
      </c>
      <c r="AU7" s="839">
        <v>31</v>
      </c>
      <c r="AV7" s="840">
        <f t="shared" ref="AV7:AV38" si="2">SUM(C7:AU7)</f>
        <v>9297</v>
      </c>
      <c r="AW7" s="839">
        <v>0</v>
      </c>
      <c r="AX7" s="839">
        <v>0</v>
      </c>
      <c r="AY7" s="839">
        <v>0</v>
      </c>
      <c r="AZ7" s="839">
        <v>0</v>
      </c>
      <c r="BA7" s="839">
        <v>0</v>
      </c>
      <c r="BB7" s="839">
        <v>0</v>
      </c>
      <c r="BC7" s="839">
        <v>0</v>
      </c>
      <c r="BD7" s="839">
        <v>0</v>
      </c>
      <c r="BE7" s="839">
        <v>0</v>
      </c>
      <c r="BF7" s="839">
        <v>3</v>
      </c>
      <c r="BG7" s="839">
        <v>0</v>
      </c>
      <c r="BH7" s="839">
        <v>0</v>
      </c>
      <c r="BI7" s="840">
        <f t="shared" ref="BI7:BI70" si="3">SUM(AV7:BH7)</f>
        <v>9300</v>
      </c>
    </row>
    <row r="8" spans="1:61" s="841" customFormat="1" ht="16.149999999999999" customHeight="1" x14ac:dyDescent="0.2">
      <c r="A8" s="842" t="s">
        <v>1102</v>
      </c>
      <c r="B8" s="843" t="s">
        <v>1103</v>
      </c>
      <c r="C8" s="844">
        <v>3843</v>
      </c>
      <c r="D8" s="844">
        <v>0</v>
      </c>
      <c r="E8" s="844">
        <v>0</v>
      </c>
      <c r="F8" s="844">
        <v>0</v>
      </c>
      <c r="G8" s="844">
        <v>0</v>
      </c>
      <c r="H8" s="844">
        <v>0</v>
      </c>
      <c r="I8" s="844">
        <v>0</v>
      </c>
      <c r="J8" s="844">
        <v>1</v>
      </c>
      <c r="K8" s="844">
        <v>0</v>
      </c>
      <c r="L8" s="844">
        <v>0</v>
      </c>
      <c r="M8" s="844">
        <v>0</v>
      </c>
      <c r="N8" s="844">
        <v>0</v>
      </c>
      <c r="O8" s="844">
        <v>0</v>
      </c>
      <c r="P8" s="844">
        <v>0</v>
      </c>
      <c r="Q8" s="844">
        <v>0</v>
      </c>
      <c r="R8" s="844">
        <v>0</v>
      </c>
      <c r="S8" s="844">
        <v>0</v>
      </c>
      <c r="T8" s="844">
        <v>0</v>
      </c>
      <c r="U8" s="844">
        <v>1</v>
      </c>
      <c r="V8" s="844">
        <v>0</v>
      </c>
      <c r="W8" s="844">
        <v>0</v>
      </c>
      <c r="X8" s="844">
        <v>0</v>
      </c>
      <c r="Y8" s="844">
        <v>0</v>
      </c>
      <c r="Z8" s="844">
        <v>0</v>
      </c>
      <c r="AA8" s="844">
        <v>0</v>
      </c>
      <c r="AB8" s="844">
        <v>0</v>
      </c>
      <c r="AC8" s="844">
        <v>0</v>
      </c>
      <c r="AD8" s="844">
        <v>0</v>
      </c>
      <c r="AE8" s="844">
        <v>0</v>
      </c>
      <c r="AF8" s="844">
        <v>0</v>
      </c>
      <c r="AG8" s="844">
        <v>0</v>
      </c>
      <c r="AH8" s="844">
        <v>0</v>
      </c>
      <c r="AI8" s="844">
        <v>0</v>
      </c>
      <c r="AJ8" s="844"/>
      <c r="AK8" s="844">
        <v>0</v>
      </c>
      <c r="AL8" s="844">
        <v>0</v>
      </c>
      <c r="AM8" s="844">
        <v>0</v>
      </c>
      <c r="AN8" s="844">
        <v>0</v>
      </c>
      <c r="AO8" s="844">
        <v>0</v>
      </c>
      <c r="AP8" s="844">
        <v>0</v>
      </c>
      <c r="AQ8" s="844">
        <v>0</v>
      </c>
      <c r="AR8" s="844">
        <v>0</v>
      </c>
      <c r="AS8" s="844">
        <v>0</v>
      </c>
      <c r="AT8" s="844">
        <v>9</v>
      </c>
      <c r="AU8" s="844">
        <v>30</v>
      </c>
      <c r="AV8" s="845">
        <f t="shared" si="2"/>
        <v>3884</v>
      </c>
      <c r="AW8" s="844">
        <v>0</v>
      </c>
      <c r="AX8" s="844">
        <v>0</v>
      </c>
      <c r="AY8" s="844">
        <v>0</v>
      </c>
      <c r="AZ8" s="844">
        <v>0</v>
      </c>
      <c r="BA8" s="844">
        <v>0</v>
      </c>
      <c r="BB8" s="844">
        <v>0</v>
      </c>
      <c r="BC8" s="844">
        <v>0</v>
      </c>
      <c r="BD8" s="844">
        <v>0</v>
      </c>
      <c r="BE8" s="844">
        <v>0</v>
      </c>
      <c r="BF8" s="844">
        <v>2</v>
      </c>
      <c r="BG8" s="844">
        <v>0</v>
      </c>
      <c r="BH8" s="844">
        <v>0</v>
      </c>
      <c r="BI8" s="845">
        <f t="shared" si="3"/>
        <v>3886</v>
      </c>
    </row>
    <row r="9" spans="1:61" s="841" customFormat="1" ht="16.149999999999999" customHeight="1" x14ac:dyDescent="0.2">
      <c r="A9" s="842" t="s">
        <v>1104</v>
      </c>
      <c r="B9" s="843" t="s">
        <v>1105</v>
      </c>
      <c r="C9" s="844">
        <v>22819</v>
      </c>
      <c r="D9" s="844">
        <v>0</v>
      </c>
      <c r="E9" s="844">
        <v>3</v>
      </c>
      <c r="F9" s="844">
        <v>0</v>
      </c>
      <c r="G9" s="844">
        <v>0</v>
      </c>
      <c r="H9" s="844">
        <v>0</v>
      </c>
      <c r="I9" s="844">
        <v>0</v>
      </c>
      <c r="J9" s="844">
        <v>0</v>
      </c>
      <c r="K9" s="844">
        <v>0</v>
      </c>
      <c r="L9" s="844">
        <v>0</v>
      </c>
      <c r="M9" s="844">
        <v>19</v>
      </c>
      <c r="N9" s="844">
        <v>0</v>
      </c>
      <c r="O9" s="844">
        <v>0</v>
      </c>
      <c r="P9" s="844">
        <v>0</v>
      </c>
      <c r="Q9" s="844">
        <v>0</v>
      </c>
      <c r="R9" s="844">
        <v>0</v>
      </c>
      <c r="S9" s="844">
        <v>0</v>
      </c>
      <c r="T9" s="844">
        <v>20</v>
      </c>
      <c r="U9" s="844">
        <v>0</v>
      </c>
      <c r="V9" s="844">
        <v>0</v>
      </c>
      <c r="W9" s="844">
        <v>1</v>
      </c>
      <c r="X9" s="844">
        <v>0</v>
      </c>
      <c r="Y9" s="844">
        <v>0</v>
      </c>
      <c r="Z9" s="844">
        <v>0</v>
      </c>
      <c r="AA9" s="844">
        <v>2</v>
      </c>
      <c r="AB9" s="844">
        <v>0</v>
      </c>
      <c r="AC9" s="844">
        <v>0</v>
      </c>
      <c r="AD9" s="844">
        <v>0</v>
      </c>
      <c r="AE9" s="844">
        <v>0</v>
      </c>
      <c r="AF9" s="844">
        <v>0</v>
      </c>
      <c r="AG9" s="844">
        <v>0</v>
      </c>
      <c r="AH9" s="844">
        <v>0</v>
      </c>
      <c r="AI9" s="844">
        <v>0</v>
      </c>
      <c r="AJ9" s="844"/>
      <c r="AK9" s="844">
        <v>0</v>
      </c>
      <c r="AL9" s="844">
        <v>0</v>
      </c>
      <c r="AM9" s="844">
        <v>0</v>
      </c>
      <c r="AN9" s="844">
        <v>0</v>
      </c>
      <c r="AO9" s="844">
        <v>0</v>
      </c>
      <c r="AP9" s="844">
        <v>0</v>
      </c>
      <c r="AQ9" s="844">
        <v>0</v>
      </c>
      <c r="AR9" s="844">
        <v>0</v>
      </c>
      <c r="AS9" s="844">
        <v>0</v>
      </c>
      <c r="AT9" s="844">
        <v>30</v>
      </c>
      <c r="AU9" s="844">
        <v>110</v>
      </c>
      <c r="AV9" s="845">
        <f t="shared" si="2"/>
        <v>23004</v>
      </c>
      <c r="AW9" s="844">
        <v>0</v>
      </c>
      <c r="AX9" s="844">
        <v>0</v>
      </c>
      <c r="AY9" s="844">
        <v>0</v>
      </c>
      <c r="AZ9" s="844">
        <v>0</v>
      </c>
      <c r="BA9" s="844">
        <v>0</v>
      </c>
      <c r="BB9" s="844">
        <v>0</v>
      </c>
      <c r="BC9" s="844">
        <v>0</v>
      </c>
      <c r="BD9" s="844">
        <v>0</v>
      </c>
      <c r="BE9" s="844">
        <v>0</v>
      </c>
      <c r="BF9" s="844">
        <v>8</v>
      </c>
      <c r="BG9" s="844">
        <v>0</v>
      </c>
      <c r="BH9" s="844">
        <v>5</v>
      </c>
      <c r="BI9" s="845">
        <f t="shared" si="3"/>
        <v>23017</v>
      </c>
    </row>
    <row r="10" spans="1:61" s="841" customFormat="1" ht="16.149999999999999" customHeight="1" x14ac:dyDescent="0.2">
      <c r="A10" s="842" t="s">
        <v>1106</v>
      </c>
      <c r="B10" s="843" t="s">
        <v>1107</v>
      </c>
      <c r="C10" s="844">
        <v>2924</v>
      </c>
      <c r="D10" s="844">
        <v>0</v>
      </c>
      <c r="E10" s="844">
        <v>0</v>
      </c>
      <c r="F10" s="844">
        <v>0</v>
      </c>
      <c r="G10" s="844">
        <v>0</v>
      </c>
      <c r="H10" s="844">
        <v>0</v>
      </c>
      <c r="I10" s="844">
        <v>0</v>
      </c>
      <c r="J10" s="844">
        <v>0</v>
      </c>
      <c r="K10" s="844">
        <v>0</v>
      </c>
      <c r="L10" s="844">
        <v>0</v>
      </c>
      <c r="M10" s="844">
        <v>0</v>
      </c>
      <c r="N10" s="844">
        <v>0</v>
      </c>
      <c r="O10" s="844">
        <v>0</v>
      </c>
      <c r="P10" s="844">
        <v>0</v>
      </c>
      <c r="Q10" s="844">
        <v>0</v>
      </c>
      <c r="R10" s="844">
        <v>0</v>
      </c>
      <c r="S10" s="844">
        <v>0</v>
      </c>
      <c r="T10" s="844">
        <v>9</v>
      </c>
      <c r="U10" s="844">
        <v>0</v>
      </c>
      <c r="V10" s="844">
        <v>0</v>
      </c>
      <c r="W10" s="844">
        <v>3</v>
      </c>
      <c r="X10" s="844">
        <v>0</v>
      </c>
      <c r="Y10" s="844">
        <v>0</v>
      </c>
      <c r="Z10" s="844">
        <v>0</v>
      </c>
      <c r="AA10" s="844">
        <v>0</v>
      </c>
      <c r="AB10" s="844">
        <v>0</v>
      </c>
      <c r="AC10" s="844">
        <v>0</v>
      </c>
      <c r="AD10" s="844">
        <v>0</v>
      </c>
      <c r="AE10" s="844">
        <v>0</v>
      </c>
      <c r="AF10" s="844">
        <v>0</v>
      </c>
      <c r="AG10" s="844">
        <v>0</v>
      </c>
      <c r="AH10" s="844">
        <v>0</v>
      </c>
      <c r="AI10" s="844">
        <v>0</v>
      </c>
      <c r="AJ10" s="844"/>
      <c r="AK10" s="844">
        <v>0</v>
      </c>
      <c r="AL10" s="844">
        <v>0</v>
      </c>
      <c r="AM10" s="844">
        <v>0</v>
      </c>
      <c r="AN10" s="844">
        <v>0</v>
      </c>
      <c r="AO10" s="844">
        <v>0</v>
      </c>
      <c r="AP10" s="844">
        <v>0</v>
      </c>
      <c r="AQ10" s="844">
        <v>0</v>
      </c>
      <c r="AR10" s="844">
        <v>0</v>
      </c>
      <c r="AS10" s="844">
        <v>0</v>
      </c>
      <c r="AT10" s="844">
        <v>9</v>
      </c>
      <c r="AU10" s="844">
        <v>16</v>
      </c>
      <c r="AV10" s="845">
        <f t="shared" si="2"/>
        <v>2961</v>
      </c>
      <c r="AW10" s="844">
        <v>0</v>
      </c>
      <c r="AX10" s="844">
        <v>0</v>
      </c>
      <c r="AY10" s="844">
        <v>0</v>
      </c>
      <c r="AZ10" s="844">
        <v>0</v>
      </c>
      <c r="BA10" s="844">
        <v>0</v>
      </c>
      <c r="BB10" s="844">
        <v>0</v>
      </c>
      <c r="BC10" s="844">
        <v>8</v>
      </c>
      <c r="BD10" s="844">
        <v>0</v>
      </c>
      <c r="BE10" s="844">
        <v>0</v>
      </c>
      <c r="BF10" s="844">
        <v>1</v>
      </c>
      <c r="BG10" s="844">
        <v>0</v>
      </c>
      <c r="BH10" s="844">
        <v>0</v>
      </c>
      <c r="BI10" s="845">
        <f t="shared" si="3"/>
        <v>2970</v>
      </c>
    </row>
    <row r="11" spans="1:61" s="841" customFormat="1" ht="16.149999999999999" customHeight="1" x14ac:dyDescent="0.2">
      <c r="A11" s="846" t="s">
        <v>1108</v>
      </c>
      <c r="B11" s="847" t="s">
        <v>1109</v>
      </c>
      <c r="C11" s="848">
        <v>4892</v>
      </c>
      <c r="D11" s="848">
        <v>0</v>
      </c>
      <c r="E11" s="848">
        <v>0</v>
      </c>
      <c r="F11" s="848">
        <v>0</v>
      </c>
      <c r="G11" s="848">
        <v>0</v>
      </c>
      <c r="H11" s="848">
        <v>0</v>
      </c>
      <c r="I11" s="848">
        <v>0</v>
      </c>
      <c r="J11" s="848">
        <v>0</v>
      </c>
      <c r="K11" s="848">
        <v>0</v>
      </c>
      <c r="L11" s="848">
        <v>0</v>
      </c>
      <c r="M11" s="848">
        <v>0</v>
      </c>
      <c r="N11" s="848">
        <v>0</v>
      </c>
      <c r="O11" s="848">
        <v>0</v>
      </c>
      <c r="P11" s="848">
        <v>0</v>
      </c>
      <c r="Q11" s="848">
        <v>0</v>
      </c>
      <c r="R11" s="848">
        <v>0</v>
      </c>
      <c r="S11" s="848">
        <v>0</v>
      </c>
      <c r="T11" s="848">
        <v>0</v>
      </c>
      <c r="U11" s="848">
        <v>0</v>
      </c>
      <c r="V11" s="848">
        <v>0</v>
      </c>
      <c r="W11" s="848">
        <v>0</v>
      </c>
      <c r="X11" s="848">
        <v>0</v>
      </c>
      <c r="Y11" s="848">
        <v>0</v>
      </c>
      <c r="Z11" s="848">
        <v>0</v>
      </c>
      <c r="AA11" s="848">
        <v>0</v>
      </c>
      <c r="AB11" s="848">
        <v>0</v>
      </c>
      <c r="AC11" s="848">
        <v>0</v>
      </c>
      <c r="AD11" s="848">
        <v>0</v>
      </c>
      <c r="AE11" s="848">
        <v>0</v>
      </c>
      <c r="AF11" s="848">
        <v>0</v>
      </c>
      <c r="AG11" s="848">
        <v>0</v>
      </c>
      <c r="AH11" s="848">
        <v>0</v>
      </c>
      <c r="AI11" s="848">
        <v>0</v>
      </c>
      <c r="AJ11" s="848"/>
      <c r="AK11" s="848">
        <v>0</v>
      </c>
      <c r="AL11" s="848">
        <v>0</v>
      </c>
      <c r="AM11" s="848">
        <v>0</v>
      </c>
      <c r="AN11" s="848">
        <v>270</v>
      </c>
      <c r="AO11" s="848">
        <v>0</v>
      </c>
      <c r="AP11" s="848">
        <v>0</v>
      </c>
      <c r="AQ11" s="848">
        <v>0</v>
      </c>
      <c r="AR11" s="848">
        <v>0</v>
      </c>
      <c r="AS11" s="848">
        <v>0</v>
      </c>
      <c r="AT11" s="848">
        <v>22</v>
      </c>
      <c r="AU11" s="848">
        <v>39</v>
      </c>
      <c r="AV11" s="849">
        <f t="shared" si="2"/>
        <v>5223</v>
      </c>
      <c r="AW11" s="848">
        <v>0</v>
      </c>
      <c r="AX11" s="848">
        <v>0</v>
      </c>
      <c r="AY11" s="848">
        <v>0</v>
      </c>
      <c r="AZ11" s="848">
        <v>651</v>
      </c>
      <c r="BA11" s="848">
        <v>0</v>
      </c>
      <c r="BB11" s="848">
        <v>0</v>
      </c>
      <c r="BC11" s="848">
        <v>0</v>
      </c>
      <c r="BD11" s="848">
        <v>0</v>
      </c>
      <c r="BE11" s="848">
        <v>0</v>
      </c>
      <c r="BF11" s="848">
        <v>1</v>
      </c>
      <c r="BG11" s="848">
        <v>0</v>
      </c>
      <c r="BH11" s="848">
        <v>0</v>
      </c>
      <c r="BI11" s="849">
        <f t="shared" si="3"/>
        <v>5875</v>
      </c>
    </row>
    <row r="12" spans="1:61" s="841" customFormat="1" ht="16.149999999999999" customHeight="1" x14ac:dyDescent="0.2">
      <c r="A12" s="837" t="s">
        <v>1110</v>
      </c>
      <c r="B12" s="838" t="s">
        <v>1111</v>
      </c>
      <c r="C12" s="839">
        <v>5600</v>
      </c>
      <c r="D12" s="839">
        <v>0</v>
      </c>
      <c r="E12" s="839">
        <v>0</v>
      </c>
      <c r="F12" s="839">
        <v>0</v>
      </c>
      <c r="G12" s="839">
        <v>0</v>
      </c>
      <c r="H12" s="839">
        <v>0</v>
      </c>
      <c r="I12" s="839">
        <v>0</v>
      </c>
      <c r="J12" s="839">
        <v>2</v>
      </c>
      <c r="K12" s="839">
        <v>0</v>
      </c>
      <c r="L12" s="839">
        <v>0</v>
      </c>
      <c r="M12" s="839">
        <v>0</v>
      </c>
      <c r="N12" s="839">
        <v>0</v>
      </c>
      <c r="O12" s="839">
        <v>0</v>
      </c>
      <c r="P12" s="839">
        <v>0</v>
      </c>
      <c r="Q12" s="839">
        <v>0</v>
      </c>
      <c r="R12" s="839">
        <v>0</v>
      </c>
      <c r="S12" s="839">
        <v>0</v>
      </c>
      <c r="T12" s="839">
        <v>0</v>
      </c>
      <c r="U12" s="839">
        <v>0</v>
      </c>
      <c r="V12" s="839">
        <v>0</v>
      </c>
      <c r="W12" s="839">
        <v>0</v>
      </c>
      <c r="X12" s="839">
        <v>0</v>
      </c>
      <c r="Y12" s="839">
        <v>0</v>
      </c>
      <c r="Z12" s="839">
        <v>0</v>
      </c>
      <c r="AA12" s="839">
        <v>0</v>
      </c>
      <c r="AB12" s="839">
        <v>0</v>
      </c>
      <c r="AC12" s="839">
        <v>0</v>
      </c>
      <c r="AD12" s="839">
        <v>0</v>
      </c>
      <c r="AE12" s="839">
        <v>0</v>
      </c>
      <c r="AF12" s="839">
        <v>0</v>
      </c>
      <c r="AG12" s="839">
        <v>0</v>
      </c>
      <c r="AH12" s="839">
        <v>0</v>
      </c>
      <c r="AI12" s="839">
        <v>0</v>
      </c>
      <c r="AJ12" s="839"/>
      <c r="AK12" s="839">
        <v>0</v>
      </c>
      <c r="AL12" s="839">
        <v>0</v>
      </c>
      <c r="AM12" s="839">
        <v>0</v>
      </c>
      <c r="AN12" s="839">
        <v>0</v>
      </c>
      <c r="AO12" s="839">
        <v>0</v>
      </c>
      <c r="AP12" s="839">
        <v>0</v>
      </c>
      <c r="AQ12" s="839">
        <v>0</v>
      </c>
      <c r="AR12" s="839">
        <v>0</v>
      </c>
      <c r="AS12" s="839">
        <v>0</v>
      </c>
      <c r="AT12" s="839">
        <v>16</v>
      </c>
      <c r="AU12" s="839">
        <v>12</v>
      </c>
      <c r="AV12" s="840">
        <f t="shared" si="2"/>
        <v>5630</v>
      </c>
      <c r="AW12" s="839">
        <v>0</v>
      </c>
      <c r="AX12" s="839">
        <v>0</v>
      </c>
      <c r="AY12" s="839">
        <v>0</v>
      </c>
      <c r="AZ12" s="839">
        <v>0</v>
      </c>
      <c r="BA12" s="839">
        <v>0</v>
      </c>
      <c r="BB12" s="839">
        <v>0</v>
      </c>
      <c r="BC12" s="839">
        <v>0</v>
      </c>
      <c r="BD12" s="839">
        <v>0</v>
      </c>
      <c r="BE12" s="839">
        <v>0</v>
      </c>
      <c r="BF12" s="839">
        <v>3</v>
      </c>
      <c r="BG12" s="839">
        <v>0</v>
      </c>
      <c r="BH12" s="839">
        <v>0</v>
      </c>
      <c r="BI12" s="840">
        <f t="shared" si="3"/>
        <v>5633</v>
      </c>
    </row>
    <row r="13" spans="1:61" s="841" customFormat="1" ht="16.149999999999999" customHeight="1" x14ac:dyDescent="0.2">
      <c r="A13" s="842" t="s">
        <v>1112</v>
      </c>
      <c r="B13" s="843" t="s">
        <v>1113</v>
      </c>
      <c r="C13" s="844">
        <v>1927</v>
      </c>
      <c r="D13" s="844">
        <v>0</v>
      </c>
      <c r="E13" s="844">
        <v>0</v>
      </c>
      <c r="F13" s="844">
        <v>0</v>
      </c>
      <c r="G13" s="844">
        <v>0</v>
      </c>
      <c r="H13" s="844">
        <v>0</v>
      </c>
      <c r="I13" s="844">
        <v>0</v>
      </c>
      <c r="J13" s="844">
        <v>0</v>
      </c>
      <c r="K13" s="844">
        <v>0</v>
      </c>
      <c r="L13" s="844">
        <v>0</v>
      </c>
      <c r="M13" s="844">
        <v>0</v>
      </c>
      <c r="N13" s="844">
        <v>0</v>
      </c>
      <c r="O13" s="844">
        <v>0</v>
      </c>
      <c r="P13" s="844">
        <v>0</v>
      </c>
      <c r="Q13" s="844">
        <v>0</v>
      </c>
      <c r="R13" s="844">
        <v>0</v>
      </c>
      <c r="S13" s="844">
        <v>0</v>
      </c>
      <c r="T13" s="844">
        <v>0</v>
      </c>
      <c r="U13" s="844">
        <v>0</v>
      </c>
      <c r="V13" s="844">
        <v>0</v>
      </c>
      <c r="W13" s="844">
        <v>0</v>
      </c>
      <c r="X13" s="844">
        <v>0</v>
      </c>
      <c r="Y13" s="844">
        <v>0</v>
      </c>
      <c r="Z13" s="844">
        <v>0</v>
      </c>
      <c r="AA13" s="844">
        <v>0</v>
      </c>
      <c r="AB13" s="844">
        <v>27</v>
      </c>
      <c r="AC13" s="844">
        <v>0</v>
      </c>
      <c r="AD13" s="844">
        <v>0</v>
      </c>
      <c r="AE13" s="844">
        <v>0</v>
      </c>
      <c r="AF13" s="844">
        <v>0</v>
      </c>
      <c r="AG13" s="844">
        <v>0</v>
      </c>
      <c r="AH13" s="844">
        <v>0</v>
      </c>
      <c r="AI13" s="844">
        <v>0</v>
      </c>
      <c r="AJ13" s="844"/>
      <c r="AK13" s="844">
        <v>0</v>
      </c>
      <c r="AL13" s="844">
        <v>0</v>
      </c>
      <c r="AM13" s="844">
        <v>0</v>
      </c>
      <c r="AN13" s="844">
        <v>0</v>
      </c>
      <c r="AO13" s="844">
        <v>0</v>
      </c>
      <c r="AP13" s="844">
        <v>0</v>
      </c>
      <c r="AQ13" s="844">
        <v>0</v>
      </c>
      <c r="AR13" s="844">
        <v>0</v>
      </c>
      <c r="AS13" s="844">
        <v>0</v>
      </c>
      <c r="AT13" s="844">
        <v>5</v>
      </c>
      <c r="AU13" s="844">
        <v>9</v>
      </c>
      <c r="AV13" s="845">
        <f t="shared" si="2"/>
        <v>1968</v>
      </c>
      <c r="AW13" s="844">
        <v>0</v>
      </c>
      <c r="AX13" s="844">
        <v>0</v>
      </c>
      <c r="AY13" s="844">
        <v>0</v>
      </c>
      <c r="AZ13" s="844">
        <v>0</v>
      </c>
      <c r="BA13" s="844">
        <v>2</v>
      </c>
      <c r="BB13" s="844">
        <v>0</v>
      </c>
      <c r="BC13" s="844">
        <v>0</v>
      </c>
      <c r="BD13" s="844">
        <v>0</v>
      </c>
      <c r="BE13" s="844">
        <v>0</v>
      </c>
      <c r="BF13" s="844">
        <v>1</v>
      </c>
      <c r="BG13" s="844">
        <v>0</v>
      </c>
      <c r="BH13" s="844">
        <v>0</v>
      </c>
      <c r="BI13" s="845">
        <f t="shared" si="3"/>
        <v>1971</v>
      </c>
    </row>
    <row r="14" spans="1:61" s="841" customFormat="1" ht="16.149999999999999" customHeight="1" x14ac:dyDescent="0.2">
      <c r="A14" s="842" t="s">
        <v>1114</v>
      </c>
      <c r="B14" s="843" t="s">
        <v>1115</v>
      </c>
      <c r="C14" s="844">
        <v>21940</v>
      </c>
      <c r="D14" s="844">
        <v>0</v>
      </c>
      <c r="E14" s="844">
        <v>0</v>
      </c>
      <c r="F14" s="844">
        <v>0</v>
      </c>
      <c r="G14" s="844">
        <v>0</v>
      </c>
      <c r="H14" s="844">
        <v>0</v>
      </c>
      <c r="I14" s="844">
        <v>0</v>
      </c>
      <c r="J14" s="844">
        <v>0</v>
      </c>
      <c r="K14" s="844">
        <v>0</v>
      </c>
      <c r="L14" s="844">
        <v>0</v>
      </c>
      <c r="M14" s="844">
        <v>0</v>
      </c>
      <c r="N14" s="844">
        <v>0</v>
      </c>
      <c r="O14" s="844">
        <v>0</v>
      </c>
      <c r="P14" s="844">
        <v>0</v>
      </c>
      <c r="Q14" s="844">
        <v>0</v>
      </c>
      <c r="R14" s="844">
        <v>0</v>
      </c>
      <c r="S14" s="844">
        <v>0</v>
      </c>
      <c r="T14" s="844">
        <v>0</v>
      </c>
      <c r="U14" s="844">
        <v>0</v>
      </c>
      <c r="V14" s="844">
        <v>0</v>
      </c>
      <c r="W14" s="844">
        <v>0</v>
      </c>
      <c r="X14" s="844">
        <v>0</v>
      </c>
      <c r="Y14" s="844">
        <v>0</v>
      </c>
      <c r="Z14" s="844">
        <v>0</v>
      </c>
      <c r="AA14" s="844">
        <v>0</v>
      </c>
      <c r="AB14" s="844">
        <v>0</v>
      </c>
      <c r="AC14" s="844">
        <v>0</v>
      </c>
      <c r="AD14" s="844">
        <v>0</v>
      </c>
      <c r="AE14" s="844">
        <v>0</v>
      </c>
      <c r="AF14" s="844">
        <v>0</v>
      </c>
      <c r="AG14" s="844">
        <v>0</v>
      </c>
      <c r="AH14" s="844">
        <v>0</v>
      </c>
      <c r="AI14" s="844">
        <v>0</v>
      </c>
      <c r="AJ14" s="844"/>
      <c r="AK14" s="844">
        <v>0</v>
      </c>
      <c r="AL14" s="844">
        <v>0</v>
      </c>
      <c r="AM14" s="844">
        <v>0</v>
      </c>
      <c r="AN14" s="844">
        <v>0</v>
      </c>
      <c r="AO14" s="844">
        <v>0</v>
      </c>
      <c r="AP14" s="844">
        <v>0</v>
      </c>
      <c r="AQ14" s="844">
        <v>0</v>
      </c>
      <c r="AR14" s="844">
        <v>0</v>
      </c>
      <c r="AS14" s="844">
        <v>0</v>
      </c>
      <c r="AT14" s="844">
        <v>74</v>
      </c>
      <c r="AU14" s="844">
        <v>46</v>
      </c>
      <c r="AV14" s="845">
        <f t="shared" si="2"/>
        <v>22060</v>
      </c>
      <c r="AW14" s="844">
        <v>0</v>
      </c>
      <c r="AX14" s="844">
        <v>0</v>
      </c>
      <c r="AY14" s="844">
        <v>0</v>
      </c>
      <c r="AZ14" s="844">
        <v>0</v>
      </c>
      <c r="BA14" s="844">
        <v>0</v>
      </c>
      <c r="BB14" s="844">
        <v>0</v>
      </c>
      <c r="BC14" s="844">
        <v>0</v>
      </c>
      <c r="BD14" s="844">
        <v>0</v>
      </c>
      <c r="BE14" s="844">
        <v>0</v>
      </c>
      <c r="BF14" s="844">
        <v>11</v>
      </c>
      <c r="BG14" s="844">
        <v>0</v>
      </c>
      <c r="BH14" s="844">
        <v>0</v>
      </c>
      <c r="BI14" s="845">
        <f t="shared" si="3"/>
        <v>22071</v>
      </c>
    </row>
    <row r="15" spans="1:61" s="841" customFormat="1" ht="16.149999999999999" customHeight="1" x14ac:dyDescent="0.2">
      <c r="A15" s="842" t="s">
        <v>1116</v>
      </c>
      <c r="B15" s="843" t="s">
        <v>1117</v>
      </c>
      <c r="C15" s="844">
        <v>35452</v>
      </c>
      <c r="D15" s="844">
        <v>935</v>
      </c>
      <c r="E15" s="844">
        <v>0</v>
      </c>
      <c r="F15" s="844">
        <v>0</v>
      </c>
      <c r="G15" s="844">
        <v>0</v>
      </c>
      <c r="H15" s="844">
        <v>0</v>
      </c>
      <c r="I15" s="844">
        <v>0</v>
      </c>
      <c r="J15" s="844">
        <v>0</v>
      </c>
      <c r="K15" s="844">
        <v>0</v>
      </c>
      <c r="L15" s="844">
        <v>0</v>
      </c>
      <c r="M15" s="844">
        <v>0</v>
      </c>
      <c r="N15" s="844">
        <v>0</v>
      </c>
      <c r="O15" s="844">
        <v>0</v>
      </c>
      <c r="P15" s="844">
        <v>0</v>
      </c>
      <c r="Q15" s="844">
        <v>0</v>
      </c>
      <c r="R15" s="844">
        <v>0</v>
      </c>
      <c r="S15" s="844">
        <v>0</v>
      </c>
      <c r="T15" s="844">
        <v>0</v>
      </c>
      <c r="U15" s="844">
        <v>0</v>
      </c>
      <c r="V15" s="844">
        <v>0</v>
      </c>
      <c r="W15" s="844">
        <v>0</v>
      </c>
      <c r="X15" s="844">
        <v>0</v>
      </c>
      <c r="Y15" s="844">
        <v>0</v>
      </c>
      <c r="Z15" s="844">
        <v>0</v>
      </c>
      <c r="AA15" s="844">
        <v>0</v>
      </c>
      <c r="AB15" s="844">
        <v>0</v>
      </c>
      <c r="AC15" s="844">
        <v>0</v>
      </c>
      <c r="AD15" s="844">
        <v>0</v>
      </c>
      <c r="AE15" s="844">
        <v>0</v>
      </c>
      <c r="AF15" s="844">
        <v>0</v>
      </c>
      <c r="AG15" s="844">
        <v>0</v>
      </c>
      <c r="AH15" s="844">
        <v>0</v>
      </c>
      <c r="AI15" s="844">
        <v>0</v>
      </c>
      <c r="AJ15" s="844"/>
      <c r="AK15" s="844">
        <v>0</v>
      </c>
      <c r="AL15" s="844">
        <v>0</v>
      </c>
      <c r="AM15" s="844">
        <v>0</v>
      </c>
      <c r="AN15" s="844">
        <v>0</v>
      </c>
      <c r="AO15" s="844">
        <v>0</v>
      </c>
      <c r="AP15" s="844">
        <v>0</v>
      </c>
      <c r="AQ15" s="844">
        <v>0</v>
      </c>
      <c r="AR15" s="844">
        <v>0</v>
      </c>
      <c r="AS15" s="844">
        <v>0</v>
      </c>
      <c r="AT15" s="844">
        <v>129</v>
      </c>
      <c r="AU15" s="844">
        <v>93</v>
      </c>
      <c r="AV15" s="845">
        <f t="shared" si="2"/>
        <v>36609</v>
      </c>
      <c r="AW15" s="844">
        <v>0</v>
      </c>
      <c r="AX15" s="844">
        <v>1</v>
      </c>
      <c r="AY15" s="844">
        <v>0</v>
      </c>
      <c r="AZ15" s="844">
        <v>0</v>
      </c>
      <c r="BA15" s="844">
        <v>0</v>
      </c>
      <c r="BB15" s="844">
        <v>0</v>
      </c>
      <c r="BC15" s="844">
        <v>0</v>
      </c>
      <c r="BD15" s="844">
        <v>0</v>
      </c>
      <c r="BE15" s="844">
        <v>0</v>
      </c>
      <c r="BF15" s="844">
        <v>5</v>
      </c>
      <c r="BG15" s="844">
        <v>0</v>
      </c>
      <c r="BH15" s="844">
        <v>0</v>
      </c>
      <c r="BI15" s="845">
        <f t="shared" si="3"/>
        <v>36615</v>
      </c>
    </row>
    <row r="16" spans="1:61" s="841" customFormat="1" ht="16.149999999999999" customHeight="1" x14ac:dyDescent="0.2">
      <c r="A16" s="846" t="s">
        <v>1118</v>
      </c>
      <c r="B16" s="847" t="s">
        <v>1119</v>
      </c>
      <c r="C16" s="848">
        <v>26759</v>
      </c>
      <c r="D16" s="848">
        <v>0</v>
      </c>
      <c r="E16" s="848">
        <v>0</v>
      </c>
      <c r="F16" s="848">
        <v>1</v>
      </c>
      <c r="G16" s="848">
        <v>0</v>
      </c>
      <c r="H16" s="848">
        <v>0</v>
      </c>
      <c r="I16" s="848">
        <v>0</v>
      </c>
      <c r="J16" s="848">
        <v>816</v>
      </c>
      <c r="K16" s="848">
        <v>0</v>
      </c>
      <c r="L16" s="848">
        <v>569</v>
      </c>
      <c r="M16" s="848">
        <v>0</v>
      </c>
      <c r="N16" s="848">
        <v>0</v>
      </c>
      <c r="O16" s="848">
        <v>0</v>
      </c>
      <c r="P16" s="848">
        <v>0</v>
      </c>
      <c r="Q16" s="848">
        <v>0</v>
      </c>
      <c r="R16" s="848">
        <v>0</v>
      </c>
      <c r="S16" s="848">
        <v>0</v>
      </c>
      <c r="T16" s="848">
        <v>1</v>
      </c>
      <c r="U16" s="848">
        <v>503</v>
      </c>
      <c r="V16" s="848">
        <v>0</v>
      </c>
      <c r="W16" s="848">
        <v>0</v>
      </c>
      <c r="X16" s="848">
        <v>1</v>
      </c>
      <c r="Y16" s="848">
        <v>0</v>
      </c>
      <c r="Z16" s="848">
        <v>0</v>
      </c>
      <c r="AA16" s="848">
        <v>0</v>
      </c>
      <c r="AB16" s="848">
        <v>0</v>
      </c>
      <c r="AC16" s="848">
        <v>0</v>
      </c>
      <c r="AD16" s="848">
        <v>0</v>
      </c>
      <c r="AE16" s="848">
        <v>0</v>
      </c>
      <c r="AF16" s="848">
        <v>0</v>
      </c>
      <c r="AG16" s="848">
        <v>0</v>
      </c>
      <c r="AH16" s="848">
        <v>0</v>
      </c>
      <c r="AI16" s="848">
        <v>0</v>
      </c>
      <c r="AJ16" s="848"/>
      <c r="AK16" s="848">
        <v>0</v>
      </c>
      <c r="AL16" s="848">
        <v>0</v>
      </c>
      <c r="AM16" s="848">
        <v>0</v>
      </c>
      <c r="AN16" s="848">
        <v>0</v>
      </c>
      <c r="AO16" s="848">
        <v>0</v>
      </c>
      <c r="AP16" s="848">
        <v>0</v>
      </c>
      <c r="AQ16" s="848">
        <v>0</v>
      </c>
      <c r="AR16" s="848">
        <v>0</v>
      </c>
      <c r="AS16" s="848">
        <v>0</v>
      </c>
      <c r="AT16" s="848">
        <v>52</v>
      </c>
      <c r="AU16" s="848">
        <v>83</v>
      </c>
      <c r="AV16" s="849">
        <f t="shared" si="2"/>
        <v>28785</v>
      </c>
      <c r="AW16" s="848">
        <v>0</v>
      </c>
      <c r="AX16" s="848">
        <v>0</v>
      </c>
      <c r="AY16" s="848">
        <v>0</v>
      </c>
      <c r="AZ16" s="848">
        <v>1</v>
      </c>
      <c r="BA16" s="848">
        <v>0</v>
      </c>
      <c r="BB16" s="848">
        <v>0</v>
      </c>
      <c r="BC16" s="848">
        <v>0</v>
      </c>
      <c r="BD16" s="848">
        <v>0</v>
      </c>
      <c r="BE16" s="848">
        <v>0</v>
      </c>
      <c r="BF16" s="848">
        <v>35</v>
      </c>
      <c r="BG16" s="848">
        <v>0</v>
      </c>
      <c r="BH16" s="848">
        <v>0</v>
      </c>
      <c r="BI16" s="849">
        <f t="shared" si="3"/>
        <v>28821</v>
      </c>
    </row>
    <row r="17" spans="1:61" s="841" customFormat="1" ht="16.149999999999999" customHeight="1" x14ac:dyDescent="0.2">
      <c r="A17" s="837" t="s">
        <v>1120</v>
      </c>
      <c r="B17" s="838" t="s">
        <v>1121</v>
      </c>
      <c r="C17" s="839">
        <v>1485</v>
      </c>
      <c r="D17" s="839">
        <v>0</v>
      </c>
      <c r="E17" s="839">
        <v>0</v>
      </c>
      <c r="F17" s="839">
        <v>0</v>
      </c>
      <c r="G17" s="839">
        <v>0</v>
      </c>
      <c r="H17" s="839">
        <v>0</v>
      </c>
      <c r="I17" s="839">
        <v>0</v>
      </c>
      <c r="J17" s="839">
        <v>0</v>
      </c>
      <c r="K17" s="839">
        <v>0</v>
      </c>
      <c r="L17" s="839">
        <v>0</v>
      </c>
      <c r="M17" s="839">
        <v>0</v>
      </c>
      <c r="N17" s="839">
        <v>0</v>
      </c>
      <c r="O17" s="839">
        <v>0</v>
      </c>
      <c r="P17" s="839">
        <v>0</v>
      </c>
      <c r="Q17" s="839">
        <v>0</v>
      </c>
      <c r="R17" s="839">
        <v>0</v>
      </c>
      <c r="S17" s="839">
        <v>0</v>
      </c>
      <c r="T17" s="839">
        <v>0</v>
      </c>
      <c r="U17" s="839">
        <v>0</v>
      </c>
      <c r="V17" s="839">
        <v>0</v>
      </c>
      <c r="W17" s="839">
        <v>0</v>
      </c>
      <c r="X17" s="839">
        <v>0</v>
      </c>
      <c r="Y17" s="839">
        <v>0</v>
      </c>
      <c r="Z17" s="839">
        <v>0</v>
      </c>
      <c r="AA17" s="839">
        <v>0</v>
      </c>
      <c r="AB17" s="839">
        <v>0</v>
      </c>
      <c r="AC17" s="839">
        <v>0</v>
      </c>
      <c r="AD17" s="839">
        <v>0</v>
      </c>
      <c r="AE17" s="839">
        <v>0</v>
      </c>
      <c r="AF17" s="839">
        <v>0</v>
      </c>
      <c r="AG17" s="839">
        <v>0</v>
      </c>
      <c r="AH17" s="839">
        <v>0</v>
      </c>
      <c r="AI17" s="839">
        <v>0</v>
      </c>
      <c r="AJ17" s="839"/>
      <c r="AK17" s="839">
        <v>0</v>
      </c>
      <c r="AL17" s="839">
        <v>0</v>
      </c>
      <c r="AM17" s="839">
        <v>0</v>
      </c>
      <c r="AN17" s="839">
        <v>0</v>
      </c>
      <c r="AO17" s="839">
        <v>0</v>
      </c>
      <c r="AP17" s="839">
        <v>0</v>
      </c>
      <c r="AQ17" s="839">
        <v>0</v>
      </c>
      <c r="AR17" s="839">
        <v>0</v>
      </c>
      <c r="AS17" s="839">
        <v>0</v>
      </c>
      <c r="AT17" s="839">
        <v>0</v>
      </c>
      <c r="AU17" s="839">
        <v>11</v>
      </c>
      <c r="AV17" s="840">
        <f t="shared" si="2"/>
        <v>1496</v>
      </c>
      <c r="AW17" s="839">
        <v>0</v>
      </c>
      <c r="AX17" s="839">
        <v>0</v>
      </c>
      <c r="AY17" s="839">
        <v>0</v>
      </c>
      <c r="AZ17" s="839">
        <v>0</v>
      </c>
      <c r="BA17" s="839">
        <v>0</v>
      </c>
      <c r="BB17" s="839">
        <v>0</v>
      </c>
      <c r="BC17" s="839">
        <v>0</v>
      </c>
      <c r="BD17" s="839">
        <v>0</v>
      </c>
      <c r="BE17" s="839">
        <v>0</v>
      </c>
      <c r="BF17" s="839">
        <v>2</v>
      </c>
      <c r="BG17" s="839">
        <v>0</v>
      </c>
      <c r="BH17" s="839">
        <v>0</v>
      </c>
      <c r="BI17" s="840">
        <f t="shared" si="3"/>
        <v>1498</v>
      </c>
    </row>
    <row r="18" spans="1:61" s="841" customFormat="1" ht="16.149999999999999" customHeight="1" x14ac:dyDescent="0.2">
      <c r="A18" s="842" t="s">
        <v>1122</v>
      </c>
      <c r="B18" s="843" t="s">
        <v>1123</v>
      </c>
      <c r="C18" s="844">
        <v>1130</v>
      </c>
      <c r="D18" s="844">
        <v>0</v>
      </c>
      <c r="E18" s="844">
        <v>0</v>
      </c>
      <c r="F18" s="844">
        <v>0</v>
      </c>
      <c r="G18" s="844">
        <v>0</v>
      </c>
      <c r="H18" s="844">
        <v>0</v>
      </c>
      <c r="I18" s="844">
        <v>0</v>
      </c>
      <c r="J18" s="844">
        <v>0</v>
      </c>
      <c r="K18" s="844">
        <v>0</v>
      </c>
      <c r="L18" s="844">
        <v>0</v>
      </c>
      <c r="M18" s="844">
        <v>0</v>
      </c>
      <c r="N18" s="844">
        <v>0</v>
      </c>
      <c r="O18" s="844">
        <v>0</v>
      </c>
      <c r="P18" s="844">
        <v>0</v>
      </c>
      <c r="Q18" s="844">
        <v>0</v>
      </c>
      <c r="R18" s="844">
        <v>0</v>
      </c>
      <c r="S18" s="844">
        <v>0</v>
      </c>
      <c r="T18" s="844">
        <v>0</v>
      </c>
      <c r="U18" s="844">
        <v>0</v>
      </c>
      <c r="V18" s="844">
        <v>0</v>
      </c>
      <c r="W18" s="844">
        <v>0</v>
      </c>
      <c r="X18" s="844">
        <v>0</v>
      </c>
      <c r="Y18" s="844">
        <v>0</v>
      </c>
      <c r="Z18" s="844">
        <v>0</v>
      </c>
      <c r="AA18" s="844">
        <v>0</v>
      </c>
      <c r="AB18" s="844">
        <v>0</v>
      </c>
      <c r="AC18" s="844">
        <v>0</v>
      </c>
      <c r="AD18" s="844">
        <v>0</v>
      </c>
      <c r="AE18" s="844">
        <v>0</v>
      </c>
      <c r="AF18" s="844">
        <v>0</v>
      </c>
      <c r="AG18" s="844">
        <v>0</v>
      </c>
      <c r="AH18" s="844">
        <v>0</v>
      </c>
      <c r="AI18" s="844">
        <v>0</v>
      </c>
      <c r="AJ18" s="844"/>
      <c r="AK18" s="844">
        <v>0</v>
      </c>
      <c r="AL18" s="844">
        <v>0</v>
      </c>
      <c r="AM18" s="844">
        <v>0</v>
      </c>
      <c r="AN18" s="844">
        <v>0</v>
      </c>
      <c r="AO18" s="844">
        <v>0</v>
      </c>
      <c r="AP18" s="844">
        <v>0</v>
      </c>
      <c r="AQ18" s="844">
        <v>0</v>
      </c>
      <c r="AR18" s="844">
        <v>0</v>
      </c>
      <c r="AS18" s="844">
        <v>0</v>
      </c>
      <c r="AT18" s="844">
        <v>0</v>
      </c>
      <c r="AU18" s="844">
        <v>1</v>
      </c>
      <c r="AV18" s="845">
        <f t="shared" si="2"/>
        <v>1131</v>
      </c>
      <c r="AW18" s="844">
        <v>0</v>
      </c>
      <c r="AX18" s="844">
        <v>0</v>
      </c>
      <c r="AY18" s="844">
        <v>0</v>
      </c>
      <c r="AZ18" s="844">
        <v>0</v>
      </c>
      <c r="BA18" s="844">
        <v>0</v>
      </c>
      <c r="BB18" s="844">
        <v>0</v>
      </c>
      <c r="BC18" s="844">
        <v>0</v>
      </c>
      <c r="BD18" s="844">
        <v>0</v>
      </c>
      <c r="BE18" s="844">
        <v>0</v>
      </c>
      <c r="BF18" s="844">
        <v>0</v>
      </c>
      <c r="BG18" s="844">
        <v>0</v>
      </c>
      <c r="BH18" s="844">
        <v>0</v>
      </c>
      <c r="BI18" s="845">
        <f t="shared" si="3"/>
        <v>1131</v>
      </c>
    </row>
    <row r="19" spans="1:61" s="841" customFormat="1" ht="16.149999999999999" customHeight="1" x14ac:dyDescent="0.2">
      <c r="A19" s="842" t="s">
        <v>1124</v>
      </c>
      <c r="B19" s="843" t="s">
        <v>1125</v>
      </c>
      <c r="C19" s="844">
        <v>1073</v>
      </c>
      <c r="D19" s="844">
        <v>0</v>
      </c>
      <c r="E19" s="844">
        <v>0</v>
      </c>
      <c r="F19" s="844">
        <v>0</v>
      </c>
      <c r="G19" s="844">
        <v>0</v>
      </c>
      <c r="H19" s="844">
        <v>0</v>
      </c>
      <c r="I19" s="844">
        <v>0</v>
      </c>
      <c r="J19" s="844">
        <v>0</v>
      </c>
      <c r="K19" s="844">
        <v>0</v>
      </c>
      <c r="L19" s="844">
        <v>0</v>
      </c>
      <c r="M19" s="844">
        <v>0</v>
      </c>
      <c r="N19" s="844">
        <v>0</v>
      </c>
      <c r="O19" s="844">
        <v>0</v>
      </c>
      <c r="P19" s="844">
        <v>89</v>
      </c>
      <c r="Q19" s="844">
        <v>0</v>
      </c>
      <c r="R19" s="844">
        <v>0</v>
      </c>
      <c r="S19" s="844">
        <v>0</v>
      </c>
      <c r="T19" s="844">
        <v>0</v>
      </c>
      <c r="U19" s="844">
        <v>0</v>
      </c>
      <c r="V19" s="844">
        <v>0</v>
      </c>
      <c r="W19" s="844">
        <v>0</v>
      </c>
      <c r="X19" s="844">
        <v>0</v>
      </c>
      <c r="Y19" s="844">
        <v>0</v>
      </c>
      <c r="Z19" s="844">
        <v>0</v>
      </c>
      <c r="AA19" s="844">
        <v>0</v>
      </c>
      <c r="AB19" s="844">
        <v>0</v>
      </c>
      <c r="AC19" s="844">
        <v>0</v>
      </c>
      <c r="AD19" s="844">
        <v>0</v>
      </c>
      <c r="AE19" s="844">
        <v>0</v>
      </c>
      <c r="AF19" s="844">
        <v>0</v>
      </c>
      <c r="AG19" s="844">
        <v>0</v>
      </c>
      <c r="AH19" s="844">
        <v>0</v>
      </c>
      <c r="AI19" s="844">
        <v>0</v>
      </c>
      <c r="AJ19" s="844"/>
      <c r="AK19" s="844">
        <v>0</v>
      </c>
      <c r="AL19" s="844">
        <v>0</v>
      </c>
      <c r="AM19" s="844">
        <v>0</v>
      </c>
      <c r="AN19" s="844">
        <v>0</v>
      </c>
      <c r="AO19" s="844">
        <v>0</v>
      </c>
      <c r="AP19" s="844">
        <v>0</v>
      </c>
      <c r="AQ19" s="844">
        <v>0</v>
      </c>
      <c r="AR19" s="844">
        <v>0</v>
      </c>
      <c r="AS19" s="844">
        <v>0</v>
      </c>
      <c r="AT19" s="844">
        <v>6</v>
      </c>
      <c r="AU19" s="844">
        <v>9</v>
      </c>
      <c r="AV19" s="845">
        <f t="shared" si="2"/>
        <v>1177</v>
      </c>
      <c r="AW19" s="844">
        <v>0</v>
      </c>
      <c r="AX19" s="844">
        <v>0</v>
      </c>
      <c r="AY19" s="844">
        <v>0</v>
      </c>
      <c r="AZ19" s="844">
        <v>0</v>
      </c>
      <c r="BA19" s="844">
        <v>0</v>
      </c>
      <c r="BB19" s="844">
        <v>0</v>
      </c>
      <c r="BC19" s="844">
        <v>0</v>
      </c>
      <c r="BD19" s="844">
        <v>0</v>
      </c>
      <c r="BE19" s="844">
        <v>0</v>
      </c>
      <c r="BF19" s="844">
        <v>0</v>
      </c>
      <c r="BG19" s="844">
        <v>0</v>
      </c>
      <c r="BH19" s="844">
        <v>0</v>
      </c>
      <c r="BI19" s="845">
        <f t="shared" si="3"/>
        <v>1177</v>
      </c>
    </row>
    <row r="20" spans="1:61" s="841" customFormat="1" ht="16.149999999999999" customHeight="1" x14ac:dyDescent="0.2">
      <c r="A20" s="842" t="s">
        <v>1126</v>
      </c>
      <c r="B20" s="843" t="s">
        <v>1127</v>
      </c>
      <c r="C20" s="844">
        <v>1617</v>
      </c>
      <c r="D20" s="844">
        <v>0</v>
      </c>
      <c r="E20" s="844">
        <v>0</v>
      </c>
      <c r="F20" s="844">
        <v>2</v>
      </c>
      <c r="G20" s="844">
        <v>0</v>
      </c>
      <c r="H20" s="844">
        <v>0</v>
      </c>
      <c r="I20" s="844">
        <v>0</v>
      </c>
      <c r="J20" s="844">
        <v>0</v>
      </c>
      <c r="K20" s="844">
        <v>0</v>
      </c>
      <c r="L20" s="844">
        <v>0</v>
      </c>
      <c r="M20" s="844">
        <v>0</v>
      </c>
      <c r="N20" s="844">
        <v>0</v>
      </c>
      <c r="O20" s="844">
        <v>0</v>
      </c>
      <c r="P20" s="844">
        <v>0</v>
      </c>
      <c r="Q20" s="844">
        <v>0</v>
      </c>
      <c r="R20" s="844">
        <v>0</v>
      </c>
      <c r="S20" s="844">
        <v>0</v>
      </c>
      <c r="T20" s="844">
        <v>0</v>
      </c>
      <c r="U20" s="844">
        <v>0</v>
      </c>
      <c r="V20" s="844">
        <v>43</v>
      </c>
      <c r="W20" s="844">
        <v>0</v>
      </c>
      <c r="X20" s="844">
        <v>0</v>
      </c>
      <c r="Y20" s="844">
        <v>0</v>
      </c>
      <c r="Z20" s="844">
        <v>0</v>
      </c>
      <c r="AA20" s="844">
        <v>0</v>
      </c>
      <c r="AB20" s="844">
        <v>49</v>
      </c>
      <c r="AC20" s="844">
        <v>0</v>
      </c>
      <c r="AD20" s="844">
        <v>0</v>
      </c>
      <c r="AE20" s="844">
        <v>0</v>
      </c>
      <c r="AF20" s="844">
        <v>0</v>
      </c>
      <c r="AG20" s="844">
        <v>0</v>
      </c>
      <c r="AH20" s="844">
        <v>0</v>
      </c>
      <c r="AI20" s="844">
        <v>0</v>
      </c>
      <c r="AJ20" s="844"/>
      <c r="AK20" s="844">
        <v>0</v>
      </c>
      <c r="AL20" s="844">
        <v>0</v>
      </c>
      <c r="AM20" s="844">
        <v>0</v>
      </c>
      <c r="AN20" s="844">
        <v>0</v>
      </c>
      <c r="AO20" s="844">
        <v>0</v>
      </c>
      <c r="AP20" s="844">
        <v>0</v>
      </c>
      <c r="AQ20" s="844">
        <v>0</v>
      </c>
      <c r="AR20" s="844">
        <v>0</v>
      </c>
      <c r="AS20" s="844">
        <v>0</v>
      </c>
      <c r="AT20" s="844">
        <v>2</v>
      </c>
      <c r="AU20" s="844">
        <v>3</v>
      </c>
      <c r="AV20" s="845">
        <f t="shared" si="2"/>
        <v>1716</v>
      </c>
      <c r="AW20" s="844">
        <v>0</v>
      </c>
      <c r="AX20" s="844">
        <v>0</v>
      </c>
      <c r="AY20" s="844">
        <v>0</v>
      </c>
      <c r="AZ20" s="844">
        <v>0</v>
      </c>
      <c r="BA20" s="844">
        <v>0</v>
      </c>
      <c r="BB20" s="844">
        <v>0</v>
      </c>
      <c r="BC20" s="844">
        <v>0</v>
      </c>
      <c r="BD20" s="844">
        <v>0</v>
      </c>
      <c r="BE20" s="844">
        <v>0</v>
      </c>
      <c r="BF20" s="844">
        <v>0</v>
      </c>
      <c r="BG20" s="844">
        <v>0</v>
      </c>
      <c r="BH20" s="844">
        <v>0</v>
      </c>
      <c r="BI20" s="845">
        <f t="shared" si="3"/>
        <v>1716</v>
      </c>
    </row>
    <row r="21" spans="1:61" s="841" customFormat="1" ht="16.149999999999999" customHeight="1" x14ac:dyDescent="0.2">
      <c r="A21" s="846" t="s">
        <v>1128</v>
      </c>
      <c r="B21" s="847" t="s">
        <v>1129</v>
      </c>
      <c r="C21" s="848">
        <v>3127</v>
      </c>
      <c r="D21" s="848">
        <v>0</v>
      </c>
      <c r="E21" s="848">
        <v>0</v>
      </c>
      <c r="F21" s="848">
        <v>0</v>
      </c>
      <c r="G21" s="848">
        <v>0</v>
      </c>
      <c r="H21" s="848">
        <v>0</v>
      </c>
      <c r="I21" s="848">
        <v>0</v>
      </c>
      <c r="J21" s="848">
        <v>0</v>
      </c>
      <c r="K21" s="848">
        <v>0</v>
      </c>
      <c r="L21" s="848">
        <v>0</v>
      </c>
      <c r="M21" s="848">
        <v>0</v>
      </c>
      <c r="N21" s="848">
        <v>0</v>
      </c>
      <c r="O21" s="848">
        <v>0</v>
      </c>
      <c r="P21" s="848">
        <v>310</v>
      </c>
      <c r="Q21" s="848">
        <v>0</v>
      </c>
      <c r="R21" s="848">
        <v>0</v>
      </c>
      <c r="S21" s="848">
        <v>0</v>
      </c>
      <c r="T21" s="848">
        <v>0</v>
      </c>
      <c r="U21" s="848">
        <v>0</v>
      </c>
      <c r="V21" s="848">
        <v>0</v>
      </c>
      <c r="W21" s="848">
        <v>0</v>
      </c>
      <c r="X21" s="848">
        <v>0</v>
      </c>
      <c r="Y21" s="848">
        <v>0</v>
      </c>
      <c r="Z21" s="848">
        <v>0</v>
      </c>
      <c r="AA21" s="848">
        <v>0</v>
      </c>
      <c r="AB21" s="848">
        <v>0</v>
      </c>
      <c r="AC21" s="848">
        <v>0</v>
      </c>
      <c r="AD21" s="848">
        <v>0</v>
      </c>
      <c r="AE21" s="848">
        <v>0</v>
      </c>
      <c r="AF21" s="848">
        <v>0</v>
      </c>
      <c r="AG21" s="848">
        <v>0</v>
      </c>
      <c r="AH21" s="848">
        <v>0</v>
      </c>
      <c r="AI21" s="848">
        <v>0</v>
      </c>
      <c r="AJ21" s="848"/>
      <c r="AK21" s="848">
        <v>0</v>
      </c>
      <c r="AL21" s="848">
        <v>0</v>
      </c>
      <c r="AM21" s="848">
        <v>0</v>
      </c>
      <c r="AN21" s="848">
        <v>0</v>
      </c>
      <c r="AO21" s="848">
        <v>0</v>
      </c>
      <c r="AP21" s="848">
        <v>0</v>
      </c>
      <c r="AQ21" s="848">
        <v>0</v>
      </c>
      <c r="AR21" s="848">
        <v>0</v>
      </c>
      <c r="AS21" s="848">
        <v>0</v>
      </c>
      <c r="AT21" s="848">
        <v>10</v>
      </c>
      <c r="AU21" s="848">
        <v>1</v>
      </c>
      <c r="AV21" s="849">
        <f t="shared" si="2"/>
        <v>3448</v>
      </c>
      <c r="AW21" s="848">
        <v>0</v>
      </c>
      <c r="AX21" s="848">
        <v>0</v>
      </c>
      <c r="AY21" s="848">
        <v>0</v>
      </c>
      <c r="AZ21" s="848">
        <v>0</v>
      </c>
      <c r="BA21" s="848">
        <v>0</v>
      </c>
      <c r="BB21" s="848">
        <v>0</v>
      </c>
      <c r="BC21" s="848">
        <v>0</v>
      </c>
      <c r="BD21" s="848">
        <v>0</v>
      </c>
      <c r="BE21" s="848">
        <v>0</v>
      </c>
      <c r="BF21" s="848">
        <v>2</v>
      </c>
      <c r="BG21" s="848">
        <v>0</v>
      </c>
      <c r="BH21" s="848">
        <v>0</v>
      </c>
      <c r="BI21" s="849">
        <f t="shared" si="3"/>
        <v>3450</v>
      </c>
    </row>
    <row r="22" spans="1:61" s="841" customFormat="1" ht="16.149999999999999" customHeight="1" x14ac:dyDescent="0.2">
      <c r="A22" s="837" t="s">
        <v>1130</v>
      </c>
      <c r="B22" s="838" t="s">
        <v>1131</v>
      </c>
      <c r="C22" s="839">
        <v>4658</v>
      </c>
      <c r="D22" s="839">
        <v>0</v>
      </c>
      <c r="E22" s="839">
        <v>0</v>
      </c>
      <c r="F22" s="839">
        <v>0</v>
      </c>
      <c r="G22" s="839">
        <v>0</v>
      </c>
      <c r="H22" s="839">
        <v>0</v>
      </c>
      <c r="I22" s="839">
        <v>0</v>
      </c>
      <c r="J22" s="839">
        <v>0</v>
      </c>
      <c r="K22" s="839">
        <v>0</v>
      </c>
      <c r="L22" s="839">
        <v>0</v>
      </c>
      <c r="M22" s="839">
        <v>0</v>
      </c>
      <c r="N22" s="839">
        <v>0</v>
      </c>
      <c r="O22" s="839">
        <v>0</v>
      </c>
      <c r="P22" s="839">
        <v>0</v>
      </c>
      <c r="Q22" s="839">
        <v>0</v>
      </c>
      <c r="R22" s="839">
        <v>0</v>
      </c>
      <c r="S22" s="839">
        <v>0</v>
      </c>
      <c r="T22" s="839">
        <v>0</v>
      </c>
      <c r="U22" s="839">
        <v>0</v>
      </c>
      <c r="V22" s="839">
        <v>0</v>
      </c>
      <c r="W22" s="839">
        <v>0</v>
      </c>
      <c r="X22" s="839">
        <v>0</v>
      </c>
      <c r="Y22" s="839">
        <v>0</v>
      </c>
      <c r="Z22" s="839">
        <v>0</v>
      </c>
      <c r="AA22" s="839">
        <v>0</v>
      </c>
      <c r="AB22" s="839">
        <v>0</v>
      </c>
      <c r="AC22" s="839">
        <v>0</v>
      </c>
      <c r="AD22" s="839">
        <v>0</v>
      </c>
      <c r="AE22" s="839">
        <v>0</v>
      </c>
      <c r="AF22" s="839">
        <v>0</v>
      </c>
      <c r="AG22" s="839">
        <v>0</v>
      </c>
      <c r="AH22" s="839">
        <v>0</v>
      </c>
      <c r="AI22" s="839">
        <v>0</v>
      </c>
      <c r="AJ22" s="839"/>
      <c r="AK22" s="839">
        <v>0</v>
      </c>
      <c r="AL22" s="839">
        <v>0</v>
      </c>
      <c r="AM22" s="839">
        <v>0</v>
      </c>
      <c r="AN22" s="839">
        <v>0</v>
      </c>
      <c r="AO22" s="839">
        <v>0</v>
      </c>
      <c r="AP22" s="839">
        <v>0</v>
      </c>
      <c r="AQ22" s="839">
        <v>0</v>
      </c>
      <c r="AR22" s="839">
        <v>0</v>
      </c>
      <c r="AS22" s="839">
        <v>0</v>
      </c>
      <c r="AT22" s="839">
        <v>8</v>
      </c>
      <c r="AU22" s="839">
        <v>9</v>
      </c>
      <c r="AV22" s="840">
        <f t="shared" si="2"/>
        <v>4675</v>
      </c>
      <c r="AW22" s="839">
        <v>0</v>
      </c>
      <c r="AX22" s="839">
        <v>0</v>
      </c>
      <c r="AY22" s="839">
        <v>0</v>
      </c>
      <c r="AZ22" s="839">
        <v>0</v>
      </c>
      <c r="BA22" s="839">
        <v>0</v>
      </c>
      <c r="BB22" s="839">
        <v>0</v>
      </c>
      <c r="BC22" s="839">
        <v>0</v>
      </c>
      <c r="BD22" s="839">
        <v>0</v>
      </c>
      <c r="BE22" s="839">
        <v>0</v>
      </c>
      <c r="BF22" s="839">
        <v>1</v>
      </c>
      <c r="BG22" s="839">
        <v>0</v>
      </c>
      <c r="BH22" s="839">
        <v>0</v>
      </c>
      <c r="BI22" s="840">
        <f t="shared" si="3"/>
        <v>4676</v>
      </c>
    </row>
    <row r="23" spans="1:61" s="841" customFormat="1" ht="16.149999999999999" customHeight="1" x14ac:dyDescent="0.2">
      <c r="A23" s="842" t="s">
        <v>1132</v>
      </c>
      <c r="B23" s="843" t="s">
        <v>1133</v>
      </c>
      <c r="C23" s="844">
        <v>39414</v>
      </c>
      <c r="D23" s="844">
        <v>1968</v>
      </c>
      <c r="E23" s="844">
        <v>560</v>
      </c>
      <c r="F23" s="844">
        <v>0</v>
      </c>
      <c r="G23" s="844">
        <v>0</v>
      </c>
      <c r="H23" s="844">
        <v>0</v>
      </c>
      <c r="I23" s="844">
        <v>0</v>
      </c>
      <c r="J23" s="844">
        <v>0</v>
      </c>
      <c r="K23" s="844">
        <v>0</v>
      </c>
      <c r="L23" s="844">
        <v>1</v>
      </c>
      <c r="M23" s="844">
        <v>292</v>
      </c>
      <c r="N23" s="844">
        <v>0</v>
      </c>
      <c r="O23" s="844">
        <v>663</v>
      </c>
      <c r="P23" s="844">
        <v>0</v>
      </c>
      <c r="Q23" s="844">
        <v>223</v>
      </c>
      <c r="R23" s="844">
        <v>0</v>
      </c>
      <c r="S23" s="844">
        <v>224</v>
      </c>
      <c r="T23" s="844">
        <v>39</v>
      </c>
      <c r="U23" s="844">
        <v>0</v>
      </c>
      <c r="V23" s="844">
        <v>0</v>
      </c>
      <c r="W23" s="844">
        <v>1</v>
      </c>
      <c r="X23" s="844">
        <v>0</v>
      </c>
      <c r="Y23" s="844">
        <v>3</v>
      </c>
      <c r="Z23" s="844">
        <v>0</v>
      </c>
      <c r="AA23" s="844">
        <v>690</v>
      </c>
      <c r="AB23" s="844">
        <v>0</v>
      </c>
      <c r="AC23" s="844">
        <v>0</v>
      </c>
      <c r="AD23" s="844">
        <v>0</v>
      </c>
      <c r="AE23" s="844">
        <v>0</v>
      </c>
      <c r="AF23" s="844">
        <v>0</v>
      </c>
      <c r="AG23" s="844">
        <v>0</v>
      </c>
      <c r="AH23" s="844">
        <v>0</v>
      </c>
      <c r="AI23" s="844">
        <v>456</v>
      </c>
      <c r="AJ23" s="844"/>
      <c r="AK23" s="844">
        <v>0</v>
      </c>
      <c r="AL23" s="844">
        <v>0</v>
      </c>
      <c r="AM23" s="844">
        <v>194</v>
      </c>
      <c r="AN23" s="844">
        <v>0</v>
      </c>
      <c r="AO23" s="844">
        <v>0</v>
      </c>
      <c r="AP23" s="844">
        <v>0</v>
      </c>
      <c r="AQ23" s="844">
        <v>0</v>
      </c>
      <c r="AR23" s="844">
        <v>0</v>
      </c>
      <c r="AS23" s="844">
        <v>0</v>
      </c>
      <c r="AT23" s="844">
        <v>123</v>
      </c>
      <c r="AU23" s="844">
        <v>302</v>
      </c>
      <c r="AV23" s="845">
        <f t="shared" si="2"/>
        <v>45153</v>
      </c>
      <c r="AW23" s="844">
        <v>0</v>
      </c>
      <c r="AX23" s="844">
        <v>0</v>
      </c>
      <c r="AY23" s="844">
        <v>0</v>
      </c>
      <c r="AZ23" s="844">
        <v>0</v>
      </c>
      <c r="BA23" s="844">
        <v>0</v>
      </c>
      <c r="BB23" s="844">
        <v>0</v>
      </c>
      <c r="BC23" s="844">
        <v>0</v>
      </c>
      <c r="BD23" s="844">
        <v>1428</v>
      </c>
      <c r="BE23" s="844">
        <v>672</v>
      </c>
      <c r="BF23" s="844">
        <v>9</v>
      </c>
      <c r="BG23" s="844">
        <v>0</v>
      </c>
      <c r="BH23" s="844">
        <v>141</v>
      </c>
      <c r="BI23" s="845">
        <f t="shared" si="3"/>
        <v>47403</v>
      </c>
    </row>
    <row r="24" spans="1:61" s="841" customFormat="1" ht="16.149999999999999" customHeight="1" x14ac:dyDescent="0.2">
      <c r="A24" s="842" t="s">
        <v>1134</v>
      </c>
      <c r="B24" s="843" t="s">
        <v>1135</v>
      </c>
      <c r="C24" s="844">
        <v>797</v>
      </c>
      <c r="D24" s="844">
        <v>0</v>
      </c>
      <c r="E24" s="844">
        <v>0</v>
      </c>
      <c r="F24" s="844">
        <v>0</v>
      </c>
      <c r="G24" s="844">
        <v>0</v>
      </c>
      <c r="H24" s="844">
        <v>0</v>
      </c>
      <c r="I24" s="844">
        <v>0</v>
      </c>
      <c r="J24" s="844">
        <v>0</v>
      </c>
      <c r="K24" s="844">
        <v>0</v>
      </c>
      <c r="L24" s="844">
        <v>0</v>
      </c>
      <c r="M24" s="844">
        <v>0</v>
      </c>
      <c r="N24" s="844">
        <v>0</v>
      </c>
      <c r="O24" s="844">
        <v>0</v>
      </c>
      <c r="P24" s="844">
        <v>0</v>
      </c>
      <c r="Q24" s="844">
        <v>0</v>
      </c>
      <c r="R24" s="844">
        <v>0</v>
      </c>
      <c r="S24" s="844">
        <v>0</v>
      </c>
      <c r="T24" s="844">
        <v>0</v>
      </c>
      <c r="U24" s="844">
        <v>0</v>
      </c>
      <c r="V24" s="844">
        <v>0</v>
      </c>
      <c r="W24" s="844">
        <v>0</v>
      </c>
      <c r="X24" s="844">
        <v>0</v>
      </c>
      <c r="Y24" s="844">
        <v>0</v>
      </c>
      <c r="Z24" s="844">
        <v>0</v>
      </c>
      <c r="AA24" s="844">
        <v>0</v>
      </c>
      <c r="AB24" s="844">
        <v>0</v>
      </c>
      <c r="AC24" s="844">
        <v>0</v>
      </c>
      <c r="AD24" s="844">
        <v>0</v>
      </c>
      <c r="AE24" s="844">
        <v>0</v>
      </c>
      <c r="AF24" s="844">
        <v>0</v>
      </c>
      <c r="AG24" s="844">
        <v>0</v>
      </c>
      <c r="AH24" s="844">
        <v>0</v>
      </c>
      <c r="AI24" s="844">
        <v>0</v>
      </c>
      <c r="AJ24" s="844"/>
      <c r="AK24" s="844">
        <v>0</v>
      </c>
      <c r="AL24" s="844">
        <v>0</v>
      </c>
      <c r="AM24" s="844">
        <v>0</v>
      </c>
      <c r="AN24" s="844">
        <v>0</v>
      </c>
      <c r="AO24" s="844">
        <v>0</v>
      </c>
      <c r="AP24" s="844">
        <v>0</v>
      </c>
      <c r="AQ24" s="844">
        <v>0</v>
      </c>
      <c r="AR24" s="844">
        <v>0</v>
      </c>
      <c r="AS24" s="844">
        <v>0</v>
      </c>
      <c r="AT24" s="844">
        <v>2</v>
      </c>
      <c r="AU24" s="844">
        <v>4</v>
      </c>
      <c r="AV24" s="845">
        <f t="shared" si="2"/>
        <v>803</v>
      </c>
      <c r="AW24" s="844">
        <v>0</v>
      </c>
      <c r="AX24" s="844">
        <v>0</v>
      </c>
      <c r="AY24" s="844">
        <v>0</v>
      </c>
      <c r="AZ24" s="844">
        <v>0</v>
      </c>
      <c r="BA24" s="844">
        <v>8</v>
      </c>
      <c r="BB24" s="844">
        <v>0</v>
      </c>
      <c r="BC24" s="844">
        <v>0</v>
      </c>
      <c r="BD24" s="844">
        <v>0</v>
      </c>
      <c r="BE24" s="844">
        <v>0</v>
      </c>
      <c r="BF24" s="844">
        <v>0</v>
      </c>
      <c r="BG24" s="844">
        <v>0</v>
      </c>
      <c r="BH24" s="844">
        <v>0</v>
      </c>
      <c r="BI24" s="845">
        <f t="shared" si="3"/>
        <v>811</v>
      </c>
    </row>
    <row r="25" spans="1:61" s="841" customFormat="1" ht="16.149999999999999" customHeight="1" x14ac:dyDescent="0.2">
      <c r="A25" s="842" t="s">
        <v>1136</v>
      </c>
      <c r="B25" s="843" t="s">
        <v>1137</v>
      </c>
      <c r="C25" s="844">
        <v>1632</v>
      </c>
      <c r="D25" s="844">
        <v>0</v>
      </c>
      <c r="E25" s="844">
        <v>1</v>
      </c>
      <c r="F25" s="844">
        <v>0</v>
      </c>
      <c r="G25" s="844">
        <v>0</v>
      </c>
      <c r="H25" s="844">
        <v>0</v>
      </c>
      <c r="I25" s="844">
        <v>0</v>
      </c>
      <c r="J25" s="844">
        <v>0</v>
      </c>
      <c r="K25" s="844">
        <v>0</v>
      </c>
      <c r="L25" s="844">
        <v>0</v>
      </c>
      <c r="M25" s="844">
        <v>9</v>
      </c>
      <c r="N25" s="844">
        <v>0</v>
      </c>
      <c r="O25" s="844">
        <v>0</v>
      </c>
      <c r="P25" s="844">
        <v>0</v>
      </c>
      <c r="Q25" s="844">
        <v>0</v>
      </c>
      <c r="R25" s="844">
        <v>0</v>
      </c>
      <c r="S25" s="844">
        <v>9</v>
      </c>
      <c r="T25" s="844">
        <v>0</v>
      </c>
      <c r="U25" s="844">
        <v>0</v>
      </c>
      <c r="V25" s="844">
        <v>0</v>
      </c>
      <c r="W25" s="844">
        <v>0</v>
      </c>
      <c r="X25" s="844">
        <v>0</v>
      </c>
      <c r="Y25" s="844">
        <v>0</v>
      </c>
      <c r="Z25" s="844">
        <v>0</v>
      </c>
      <c r="AA25" s="844">
        <v>0</v>
      </c>
      <c r="AB25" s="844">
        <v>0</v>
      </c>
      <c r="AC25" s="844">
        <v>0</v>
      </c>
      <c r="AD25" s="844">
        <v>0</v>
      </c>
      <c r="AE25" s="844">
        <v>0</v>
      </c>
      <c r="AF25" s="844">
        <v>0</v>
      </c>
      <c r="AG25" s="844">
        <v>0</v>
      </c>
      <c r="AH25" s="844">
        <v>0</v>
      </c>
      <c r="AI25" s="844">
        <v>0</v>
      </c>
      <c r="AJ25" s="844"/>
      <c r="AK25" s="844">
        <v>0</v>
      </c>
      <c r="AL25" s="844">
        <v>0</v>
      </c>
      <c r="AM25" s="844">
        <v>0</v>
      </c>
      <c r="AN25" s="844">
        <v>0</v>
      </c>
      <c r="AO25" s="844">
        <v>0</v>
      </c>
      <c r="AP25" s="844">
        <v>0</v>
      </c>
      <c r="AQ25" s="844">
        <v>0</v>
      </c>
      <c r="AR25" s="844">
        <v>0</v>
      </c>
      <c r="AS25" s="844">
        <v>0</v>
      </c>
      <c r="AT25" s="844">
        <v>7</v>
      </c>
      <c r="AU25" s="844">
        <v>31</v>
      </c>
      <c r="AV25" s="845">
        <f t="shared" si="2"/>
        <v>1689</v>
      </c>
      <c r="AW25" s="844">
        <v>0</v>
      </c>
      <c r="AX25" s="844">
        <v>0</v>
      </c>
      <c r="AY25" s="844">
        <v>0</v>
      </c>
      <c r="AZ25" s="844">
        <v>0</v>
      </c>
      <c r="BA25" s="844">
        <v>0</v>
      </c>
      <c r="BB25" s="844">
        <v>0</v>
      </c>
      <c r="BC25" s="844">
        <v>0</v>
      </c>
      <c r="BD25" s="844">
        <v>0</v>
      </c>
      <c r="BE25" s="844">
        <v>0</v>
      </c>
      <c r="BF25" s="844">
        <v>1</v>
      </c>
      <c r="BG25" s="844">
        <v>0</v>
      </c>
      <c r="BH25" s="844">
        <v>0</v>
      </c>
      <c r="BI25" s="845">
        <f t="shared" si="3"/>
        <v>1690</v>
      </c>
    </row>
    <row r="26" spans="1:61" s="841" customFormat="1" ht="16.149999999999999" customHeight="1" x14ac:dyDescent="0.2">
      <c r="A26" s="846" t="s">
        <v>1138</v>
      </c>
      <c r="B26" s="847" t="s">
        <v>1139</v>
      </c>
      <c r="C26" s="848">
        <v>5479</v>
      </c>
      <c r="D26" s="848">
        <v>0</v>
      </c>
      <c r="E26" s="848">
        <v>0</v>
      </c>
      <c r="F26" s="848">
        <v>0</v>
      </c>
      <c r="G26" s="848">
        <v>0</v>
      </c>
      <c r="H26" s="848">
        <v>0</v>
      </c>
      <c r="I26" s="848">
        <v>0</v>
      </c>
      <c r="J26" s="848">
        <v>0</v>
      </c>
      <c r="K26" s="848">
        <v>0</v>
      </c>
      <c r="L26" s="848">
        <v>0</v>
      </c>
      <c r="M26" s="848">
        <v>0</v>
      </c>
      <c r="N26" s="848">
        <v>0</v>
      </c>
      <c r="O26" s="848">
        <v>0</v>
      </c>
      <c r="P26" s="848">
        <v>0</v>
      </c>
      <c r="Q26" s="848">
        <v>0</v>
      </c>
      <c r="R26" s="848">
        <v>0</v>
      </c>
      <c r="S26" s="848">
        <v>0</v>
      </c>
      <c r="T26" s="848">
        <v>0</v>
      </c>
      <c r="U26" s="848">
        <v>0</v>
      </c>
      <c r="V26" s="848">
        <v>0</v>
      </c>
      <c r="W26" s="848">
        <v>0</v>
      </c>
      <c r="X26" s="848">
        <v>1</v>
      </c>
      <c r="Y26" s="848">
        <v>0</v>
      </c>
      <c r="Z26" s="848">
        <v>0</v>
      </c>
      <c r="AA26" s="848">
        <v>0</v>
      </c>
      <c r="AB26" s="848">
        <v>0</v>
      </c>
      <c r="AC26" s="848">
        <v>0</v>
      </c>
      <c r="AD26" s="848">
        <v>0</v>
      </c>
      <c r="AE26" s="848">
        <v>0</v>
      </c>
      <c r="AF26" s="848">
        <v>0</v>
      </c>
      <c r="AG26" s="848">
        <v>0</v>
      </c>
      <c r="AH26" s="848">
        <v>0</v>
      </c>
      <c r="AI26" s="848">
        <v>0</v>
      </c>
      <c r="AJ26" s="848"/>
      <c r="AK26" s="848">
        <v>0</v>
      </c>
      <c r="AL26" s="848">
        <v>0</v>
      </c>
      <c r="AM26" s="848">
        <v>0</v>
      </c>
      <c r="AN26" s="848">
        <v>0</v>
      </c>
      <c r="AO26" s="848">
        <v>0</v>
      </c>
      <c r="AP26" s="848">
        <v>0</v>
      </c>
      <c r="AQ26" s="848">
        <v>0</v>
      </c>
      <c r="AR26" s="848">
        <v>0</v>
      </c>
      <c r="AS26" s="848">
        <v>0</v>
      </c>
      <c r="AT26" s="848">
        <v>19</v>
      </c>
      <c r="AU26" s="848">
        <v>19</v>
      </c>
      <c r="AV26" s="849">
        <f t="shared" si="2"/>
        <v>5518</v>
      </c>
      <c r="AW26" s="848">
        <v>0</v>
      </c>
      <c r="AX26" s="848">
        <v>0</v>
      </c>
      <c r="AY26" s="848">
        <v>0</v>
      </c>
      <c r="AZ26" s="848">
        <v>0</v>
      </c>
      <c r="BA26" s="848">
        <v>1</v>
      </c>
      <c r="BB26" s="848">
        <v>0</v>
      </c>
      <c r="BC26" s="848">
        <v>0</v>
      </c>
      <c r="BD26" s="848">
        <v>0</v>
      </c>
      <c r="BE26" s="848">
        <v>0</v>
      </c>
      <c r="BF26" s="848">
        <v>3</v>
      </c>
      <c r="BG26" s="848">
        <v>0</v>
      </c>
      <c r="BH26" s="848">
        <v>0</v>
      </c>
      <c r="BI26" s="849">
        <f t="shared" si="3"/>
        <v>5522</v>
      </c>
    </row>
    <row r="27" spans="1:61" s="841" customFormat="1" ht="16.149999999999999" customHeight="1" x14ac:dyDescent="0.2">
      <c r="A27" s="837" t="s">
        <v>1140</v>
      </c>
      <c r="B27" s="838" t="s">
        <v>1141</v>
      </c>
      <c r="C27" s="839">
        <v>2763</v>
      </c>
      <c r="D27" s="839">
        <v>0</v>
      </c>
      <c r="E27" s="839">
        <v>0</v>
      </c>
      <c r="F27" s="839">
        <v>0</v>
      </c>
      <c r="G27" s="839">
        <v>0</v>
      </c>
      <c r="H27" s="839">
        <v>0</v>
      </c>
      <c r="I27" s="839">
        <v>0</v>
      </c>
      <c r="J27" s="839">
        <v>0</v>
      </c>
      <c r="K27" s="839">
        <v>0</v>
      </c>
      <c r="L27" s="839">
        <v>0</v>
      </c>
      <c r="M27" s="839">
        <v>0</v>
      </c>
      <c r="N27" s="839">
        <v>0</v>
      </c>
      <c r="O27" s="839">
        <v>0</v>
      </c>
      <c r="P27" s="839">
        <v>1</v>
      </c>
      <c r="Q27" s="839">
        <v>0</v>
      </c>
      <c r="R27" s="839">
        <v>0</v>
      </c>
      <c r="S27" s="839">
        <v>0</v>
      </c>
      <c r="T27" s="839">
        <v>0</v>
      </c>
      <c r="U27" s="839">
        <v>0</v>
      </c>
      <c r="V27" s="839">
        <v>0</v>
      </c>
      <c r="W27" s="839">
        <v>0</v>
      </c>
      <c r="X27" s="839">
        <v>0</v>
      </c>
      <c r="Y27" s="839">
        <v>0</v>
      </c>
      <c r="Z27" s="839">
        <v>0</v>
      </c>
      <c r="AA27" s="839">
        <v>0</v>
      </c>
      <c r="AB27" s="839">
        <v>0</v>
      </c>
      <c r="AC27" s="839">
        <v>0</v>
      </c>
      <c r="AD27" s="839">
        <v>0</v>
      </c>
      <c r="AE27" s="839">
        <v>0</v>
      </c>
      <c r="AF27" s="839">
        <v>0</v>
      </c>
      <c r="AG27" s="839">
        <v>0</v>
      </c>
      <c r="AH27" s="839">
        <v>0</v>
      </c>
      <c r="AI27" s="839">
        <v>0</v>
      </c>
      <c r="AJ27" s="839"/>
      <c r="AK27" s="839">
        <v>0</v>
      </c>
      <c r="AL27" s="839">
        <v>0</v>
      </c>
      <c r="AM27" s="839">
        <v>0</v>
      </c>
      <c r="AN27" s="839">
        <v>0</v>
      </c>
      <c r="AO27" s="839">
        <v>0</v>
      </c>
      <c r="AP27" s="839">
        <v>0</v>
      </c>
      <c r="AQ27" s="839">
        <v>0</v>
      </c>
      <c r="AR27" s="839">
        <v>0</v>
      </c>
      <c r="AS27" s="839">
        <v>0</v>
      </c>
      <c r="AT27" s="839">
        <v>4</v>
      </c>
      <c r="AU27" s="839">
        <v>15</v>
      </c>
      <c r="AV27" s="840">
        <f t="shared" si="2"/>
        <v>2783</v>
      </c>
      <c r="AW27" s="839">
        <v>3</v>
      </c>
      <c r="AX27" s="839">
        <v>0</v>
      </c>
      <c r="AY27" s="839">
        <v>0</v>
      </c>
      <c r="AZ27" s="839">
        <v>0</v>
      </c>
      <c r="BA27" s="839">
        <v>56</v>
      </c>
      <c r="BB27" s="839">
        <v>0</v>
      </c>
      <c r="BC27" s="839">
        <v>0</v>
      </c>
      <c r="BD27" s="839">
        <v>0</v>
      </c>
      <c r="BE27" s="839">
        <v>0</v>
      </c>
      <c r="BF27" s="839">
        <v>2</v>
      </c>
      <c r="BG27" s="839">
        <v>0</v>
      </c>
      <c r="BH27" s="839">
        <v>0</v>
      </c>
      <c r="BI27" s="840">
        <f t="shared" si="3"/>
        <v>2844</v>
      </c>
    </row>
    <row r="28" spans="1:61" s="841" customFormat="1" ht="16.149999999999999" customHeight="1" x14ac:dyDescent="0.2">
      <c r="A28" s="842" t="s">
        <v>1142</v>
      </c>
      <c r="B28" s="843" t="s">
        <v>1143</v>
      </c>
      <c r="C28" s="844">
        <v>2801</v>
      </c>
      <c r="D28" s="844">
        <v>0</v>
      </c>
      <c r="E28" s="844">
        <v>0</v>
      </c>
      <c r="F28" s="844">
        <v>0</v>
      </c>
      <c r="G28" s="844">
        <v>0</v>
      </c>
      <c r="H28" s="844">
        <v>0</v>
      </c>
      <c r="I28" s="844">
        <v>0</v>
      </c>
      <c r="J28" s="844">
        <v>0</v>
      </c>
      <c r="K28" s="844">
        <v>0</v>
      </c>
      <c r="L28" s="844">
        <v>0</v>
      </c>
      <c r="M28" s="844">
        <v>0</v>
      </c>
      <c r="N28" s="844">
        <v>0</v>
      </c>
      <c r="O28" s="844">
        <v>0</v>
      </c>
      <c r="P28" s="844">
        <v>0</v>
      </c>
      <c r="Q28" s="844">
        <v>0</v>
      </c>
      <c r="R28" s="844">
        <v>0</v>
      </c>
      <c r="S28" s="844">
        <v>0</v>
      </c>
      <c r="T28" s="844">
        <v>0</v>
      </c>
      <c r="U28" s="844">
        <v>0</v>
      </c>
      <c r="V28" s="844">
        <v>0</v>
      </c>
      <c r="W28" s="844">
        <v>0</v>
      </c>
      <c r="X28" s="844">
        <v>0</v>
      </c>
      <c r="Y28" s="844">
        <v>0</v>
      </c>
      <c r="Z28" s="844">
        <v>0</v>
      </c>
      <c r="AA28" s="844">
        <v>0</v>
      </c>
      <c r="AB28" s="844">
        <v>0</v>
      </c>
      <c r="AC28" s="844">
        <v>0</v>
      </c>
      <c r="AD28" s="844">
        <v>0</v>
      </c>
      <c r="AE28" s="844">
        <v>0</v>
      </c>
      <c r="AF28" s="844">
        <v>0</v>
      </c>
      <c r="AG28" s="844">
        <v>0</v>
      </c>
      <c r="AH28" s="844">
        <v>0</v>
      </c>
      <c r="AI28" s="844">
        <v>0</v>
      </c>
      <c r="AJ28" s="844"/>
      <c r="AK28" s="844">
        <v>0</v>
      </c>
      <c r="AL28" s="844">
        <v>0</v>
      </c>
      <c r="AM28" s="844">
        <v>0</v>
      </c>
      <c r="AN28" s="844">
        <v>0</v>
      </c>
      <c r="AO28" s="844">
        <v>0</v>
      </c>
      <c r="AP28" s="844">
        <v>0</v>
      </c>
      <c r="AQ28" s="844">
        <v>0</v>
      </c>
      <c r="AR28" s="844">
        <v>0</v>
      </c>
      <c r="AS28" s="844">
        <v>0</v>
      </c>
      <c r="AT28" s="844">
        <v>9</v>
      </c>
      <c r="AU28" s="844">
        <v>17</v>
      </c>
      <c r="AV28" s="845">
        <f t="shared" si="2"/>
        <v>2827</v>
      </c>
      <c r="AW28" s="844">
        <v>0</v>
      </c>
      <c r="AX28" s="844">
        <v>0</v>
      </c>
      <c r="AY28" s="844">
        <v>0</v>
      </c>
      <c r="AZ28" s="844">
        <v>0</v>
      </c>
      <c r="BA28" s="844">
        <v>0</v>
      </c>
      <c r="BB28" s="844">
        <v>0</v>
      </c>
      <c r="BC28" s="844">
        <v>0</v>
      </c>
      <c r="BD28" s="844">
        <v>0</v>
      </c>
      <c r="BE28" s="844">
        <v>0</v>
      </c>
      <c r="BF28" s="844">
        <v>0</v>
      </c>
      <c r="BG28" s="844">
        <v>0</v>
      </c>
      <c r="BH28" s="844">
        <v>0</v>
      </c>
      <c r="BI28" s="845">
        <f t="shared" si="3"/>
        <v>2827</v>
      </c>
    </row>
    <row r="29" spans="1:61" s="841" customFormat="1" ht="16.149999999999999" customHeight="1" x14ac:dyDescent="0.2">
      <c r="A29" s="842" t="s">
        <v>1144</v>
      </c>
      <c r="B29" s="843" t="s">
        <v>1145</v>
      </c>
      <c r="C29" s="844">
        <v>11492</v>
      </c>
      <c r="D29" s="844">
        <v>0</v>
      </c>
      <c r="E29" s="844">
        <v>0</v>
      </c>
      <c r="F29" s="844">
        <v>0</v>
      </c>
      <c r="G29" s="844">
        <v>0</v>
      </c>
      <c r="H29" s="844">
        <v>0</v>
      </c>
      <c r="I29" s="844">
        <v>0</v>
      </c>
      <c r="J29" s="844">
        <v>0</v>
      </c>
      <c r="K29" s="844">
        <v>0</v>
      </c>
      <c r="L29" s="844">
        <v>0</v>
      </c>
      <c r="M29" s="844">
        <v>0</v>
      </c>
      <c r="N29" s="844">
        <v>0</v>
      </c>
      <c r="O29" s="844">
        <v>0</v>
      </c>
      <c r="P29" s="844">
        <v>0</v>
      </c>
      <c r="Q29" s="844">
        <v>0</v>
      </c>
      <c r="R29" s="844">
        <v>0</v>
      </c>
      <c r="S29" s="844">
        <v>0</v>
      </c>
      <c r="T29" s="844">
        <v>0</v>
      </c>
      <c r="U29" s="844">
        <v>0</v>
      </c>
      <c r="V29" s="844">
        <v>0</v>
      </c>
      <c r="W29" s="844">
        <v>106</v>
      </c>
      <c r="X29" s="844">
        <v>6</v>
      </c>
      <c r="Y29" s="844">
        <v>1</v>
      </c>
      <c r="Z29" s="844">
        <v>0</v>
      </c>
      <c r="AA29" s="844">
        <v>0</v>
      </c>
      <c r="AB29" s="844">
        <v>0</v>
      </c>
      <c r="AC29" s="844">
        <v>0</v>
      </c>
      <c r="AD29" s="844">
        <v>0</v>
      </c>
      <c r="AE29" s="844">
        <v>0</v>
      </c>
      <c r="AF29" s="844">
        <v>0</v>
      </c>
      <c r="AG29" s="844">
        <v>0</v>
      </c>
      <c r="AH29" s="844">
        <v>3</v>
      </c>
      <c r="AI29" s="844">
        <v>0</v>
      </c>
      <c r="AJ29" s="844"/>
      <c r="AK29" s="844">
        <v>0</v>
      </c>
      <c r="AL29" s="844">
        <v>0</v>
      </c>
      <c r="AM29" s="844">
        <v>0</v>
      </c>
      <c r="AN29" s="844">
        <v>0</v>
      </c>
      <c r="AO29" s="844">
        <v>0</v>
      </c>
      <c r="AP29" s="844">
        <v>0</v>
      </c>
      <c r="AQ29" s="844">
        <v>0</v>
      </c>
      <c r="AR29" s="844">
        <v>0</v>
      </c>
      <c r="AS29" s="844">
        <v>0</v>
      </c>
      <c r="AT29" s="844">
        <v>35</v>
      </c>
      <c r="AU29" s="844">
        <v>55</v>
      </c>
      <c r="AV29" s="845">
        <f t="shared" si="2"/>
        <v>11698</v>
      </c>
      <c r="AW29" s="844">
        <v>0</v>
      </c>
      <c r="AX29" s="844">
        <v>104</v>
      </c>
      <c r="AY29" s="844">
        <v>0</v>
      </c>
      <c r="AZ29" s="844">
        <v>0</v>
      </c>
      <c r="BA29" s="844">
        <v>0</v>
      </c>
      <c r="BB29" s="844">
        <v>0</v>
      </c>
      <c r="BC29" s="844">
        <v>0</v>
      </c>
      <c r="BD29" s="844">
        <v>0</v>
      </c>
      <c r="BE29" s="844">
        <v>0</v>
      </c>
      <c r="BF29" s="844">
        <v>4</v>
      </c>
      <c r="BG29" s="844">
        <v>0</v>
      </c>
      <c r="BH29" s="844">
        <v>0</v>
      </c>
      <c r="BI29" s="845">
        <f t="shared" si="3"/>
        <v>11806</v>
      </c>
    </row>
    <row r="30" spans="1:61" s="841" customFormat="1" ht="16.149999999999999" customHeight="1" x14ac:dyDescent="0.2">
      <c r="A30" s="842" t="s">
        <v>1146</v>
      </c>
      <c r="B30" s="843" t="s">
        <v>1147</v>
      </c>
      <c r="C30" s="844">
        <v>3981</v>
      </c>
      <c r="D30" s="844">
        <v>0</v>
      </c>
      <c r="E30" s="844">
        <v>2</v>
      </c>
      <c r="F30" s="844">
        <v>0</v>
      </c>
      <c r="G30" s="844">
        <v>0</v>
      </c>
      <c r="H30" s="844">
        <v>0</v>
      </c>
      <c r="I30" s="844">
        <v>0</v>
      </c>
      <c r="J30" s="844">
        <v>0</v>
      </c>
      <c r="K30" s="844">
        <v>0</v>
      </c>
      <c r="L30" s="844">
        <v>0</v>
      </c>
      <c r="M30" s="844">
        <v>15</v>
      </c>
      <c r="N30" s="844">
        <v>0</v>
      </c>
      <c r="O30" s="844">
        <v>0</v>
      </c>
      <c r="P30" s="844">
        <v>0</v>
      </c>
      <c r="Q30" s="844">
        <v>1</v>
      </c>
      <c r="R30" s="844">
        <v>0</v>
      </c>
      <c r="S30" s="844">
        <v>0</v>
      </c>
      <c r="T30" s="844">
        <v>166</v>
      </c>
      <c r="U30" s="844">
        <v>0</v>
      </c>
      <c r="V30" s="844">
        <v>0</v>
      </c>
      <c r="W30" s="844">
        <v>0</v>
      </c>
      <c r="X30" s="844">
        <v>0</v>
      </c>
      <c r="Y30" s="844">
        <v>0</v>
      </c>
      <c r="Z30" s="844">
        <v>0</v>
      </c>
      <c r="AA30" s="844">
        <v>0</v>
      </c>
      <c r="AB30" s="844">
        <v>0</v>
      </c>
      <c r="AC30" s="844">
        <v>0</v>
      </c>
      <c r="AD30" s="844">
        <v>0</v>
      </c>
      <c r="AE30" s="844">
        <v>0</v>
      </c>
      <c r="AF30" s="844">
        <v>0</v>
      </c>
      <c r="AG30" s="844">
        <v>0</v>
      </c>
      <c r="AH30" s="844">
        <v>0</v>
      </c>
      <c r="AI30" s="844">
        <v>0</v>
      </c>
      <c r="AJ30" s="844"/>
      <c r="AK30" s="844">
        <v>0</v>
      </c>
      <c r="AL30" s="844">
        <v>0</v>
      </c>
      <c r="AM30" s="844">
        <v>0</v>
      </c>
      <c r="AN30" s="844">
        <v>0</v>
      </c>
      <c r="AO30" s="844">
        <v>0</v>
      </c>
      <c r="AP30" s="844">
        <v>0</v>
      </c>
      <c r="AQ30" s="844">
        <v>0</v>
      </c>
      <c r="AR30" s="844">
        <v>0</v>
      </c>
      <c r="AS30" s="844">
        <v>0</v>
      </c>
      <c r="AT30" s="844">
        <v>3</v>
      </c>
      <c r="AU30" s="844">
        <v>14</v>
      </c>
      <c r="AV30" s="845">
        <f t="shared" si="2"/>
        <v>4182</v>
      </c>
      <c r="AW30" s="844">
        <v>0</v>
      </c>
      <c r="AX30" s="844">
        <v>0</v>
      </c>
      <c r="AY30" s="844">
        <v>0</v>
      </c>
      <c r="AZ30" s="844">
        <v>0</v>
      </c>
      <c r="BA30" s="844">
        <v>0</v>
      </c>
      <c r="BB30" s="844">
        <v>1</v>
      </c>
      <c r="BC30" s="844">
        <v>0</v>
      </c>
      <c r="BD30" s="844">
        <v>0</v>
      </c>
      <c r="BE30" s="844">
        <v>0</v>
      </c>
      <c r="BF30" s="844">
        <v>1</v>
      </c>
      <c r="BG30" s="844">
        <v>0</v>
      </c>
      <c r="BH30" s="844">
        <v>1</v>
      </c>
      <c r="BI30" s="845">
        <f t="shared" si="3"/>
        <v>4185</v>
      </c>
    </row>
    <row r="31" spans="1:61" s="841" customFormat="1" ht="16.149999999999999" customHeight="1" x14ac:dyDescent="0.2">
      <c r="A31" s="846" t="s">
        <v>1148</v>
      </c>
      <c r="B31" s="847" t="s">
        <v>1149</v>
      </c>
      <c r="C31" s="848">
        <v>2096</v>
      </c>
      <c r="D31" s="848">
        <v>0</v>
      </c>
      <c r="E31" s="848">
        <v>0</v>
      </c>
      <c r="F31" s="848">
        <v>0</v>
      </c>
      <c r="G31" s="848">
        <v>0</v>
      </c>
      <c r="H31" s="848">
        <v>0</v>
      </c>
      <c r="I31" s="848">
        <v>0</v>
      </c>
      <c r="J31" s="848">
        <v>0</v>
      </c>
      <c r="K31" s="848">
        <v>0</v>
      </c>
      <c r="L31" s="848">
        <v>0</v>
      </c>
      <c r="M31" s="848">
        <v>0</v>
      </c>
      <c r="N31" s="848">
        <v>0</v>
      </c>
      <c r="O31" s="848">
        <v>0</v>
      </c>
      <c r="P31" s="848">
        <v>0</v>
      </c>
      <c r="Q31" s="848">
        <v>0</v>
      </c>
      <c r="R31" s="848">
        <v>0</v>
      </c>
      <c r="S31" s="848">
        <v>0</v>
      </c>
      <c r="T31" s="848">
        <v>0</v>
      </c>
      <c r="U31" s="848">
        <v>0</v>
      </c>
      <c r="V31" s="848">
        <v>0</v>
      </c>
      <c r="W31" s="848">
        <v>0</v>
      </c>
      <c r="X31" s="848">
        <v>0</v>
      </c>
      <c r="Y31" s="848">
        <v>0</v>
      </c>
      <c r="Z31" s="848">
        <v>0</v>
      </c>
      <c r="AA31" s="848">
        <v>0</v>
      </c>
      <c r="AB31" s="848">
        <v>22</v>
      </c>
      <c r="AC31" s="848">
        <v>0</v>
      </c>
      <c r="AD31" s="848">
        <v>0</v>
      </c>
      <c r="AE31" s="848">
        <v>0</v>
      </c>
      <c r="AF31" s="848">
        <v>0</v>
      </c>
      <c r="AG31" s="848">
        <v>0</v>
      </c>
      <c r="AH31" s="848">
        <v>0</v>
      </c>
      <c r="AI31" s="848">
        <v>0</v>
      </c>
      <c r="AJ31" s="848"/>
      <c r="AK31" s="848">
        <v>0</v>
      </c>
      <c r="AL31" s="848">
        <v>0</v>
      </c>
      <c r="AM31" s="848">
        <v>0</v>
      </c>
      <c r="AN31" s="848">
        <v>0</v>
      </c>
      <c r="AO31" s="848">
        <v>0</v>
      </c>
      <c r="AP31" s="848">
        <v>0</v>
      </c>
      <c r="AQ31" s="848">
        <v>0</v>
      </c>
      <c r="AR31" s="848">
        <v>0</v>
      </c>
      <c r="AS31" s="848">
        <v>0</v>
      </c>
      <c r="AT31" s="848">
        <v>13</v>
      </c>
      <c r="AU31" s="848">
        <v>6</v>
      </c>
      <c r="AV31" s="849">
        <f t="shared" si="2"/>
        <v>2137</v>
      </c>
      <c r="AW31" s="848">
        <v>0</v>
      </c>
      <c r="AX31" s="848">
        <v>0</v>
      </c>
      <c r="AY31" s="848">
        <v>0</v>
      </c>
      <c r="AZ31" s="848">
        <v>0</v>
      </c>
      <c r="BA31" s="848">
        <v>0</v>
      </c>
      <c r="BB31" s="848">
        <v>0</v>
      </c>
      <c r="BC31" s="848">
        <v>0</v>
      </c>
      <c r="BD31" s="848">
        <v>0</v>
      </c>
      <c r="BE31" s="848">
        <v>0</v>
      </c>
      <c r="BF31" s="848">
        <v>1</v>
      </c>
      <c r="BG31" s="848">
        <v>0</v>
      </c>
      <c r="BH31" s="848">
        <v>0</v>
      </c>
      <c r="BI31" s="849">
        <f t="shared" si="3"/>
        <v>2138</v>
      </c>
    </row>
    <row r="32" spans="1:61" s="841" customFormat="1" ht="16.149999999999999" customHeight="1" x14ac:dyDescent="0.2">
      <c r="A32" s="837" t="s">
        <v>1150</v>
      </c>
      <c r="B32" s="838" t="s">
        <v>1151</v>
      </c>
      <c r="C32" s="839">
        <v>47148</v>
      </c>
      <c r="D32" s="839">
        <v>0</v>
      </c>
      <c r="E32" s="839">
        <v>0</v>
      </c>
      <c r="F32" s="839">
        <v>0</v>
      </c>
      <c r="G32" s="839">
        <v>41</v>
      </c>
      <c r="H32" s="839">
        <v>721</v>
      </c>
      <c r="I32" s="839">
        <v>245</v>
      </c>
      <c r="J32" s="839">
        <v>0</v>
      </c>
      <c r="K32" s="839">
        <v>0</v>
      </c>
      <c r="L32" s="839">
        <v>0</v>
      </c>
      <c r="M32" s="839">
        <v>1</v>
      </c>
      <c r="N32" s="839">
        <v>156</v>
      </c>
      <c r="O32" s="839">
        <v>0</v>
      </c>
      <c r="P32" s="839">
        <v>0</v>
      </c>
      <c r="Q32" s="839">
        <v>0</v>
      </c>
      <c r="R32" s="839">
        <v>0</v>
      </c>
      <c r="S32" s="839">
        <v>0</v>
      </c>
      <c r="T32" s="839">
        <v>9</v>
      </c>
      <c r="U32" s="839">
        <v>0</v>
      </c>
      <c r="V32" s="839">
        <v>0</v>
      </c>
      <c r="W32" s="839">
        <v>0</v>
      </c>
      <c r="X32" s="839">
        <v>0</v>
      </c>
      <c r="Y32" s="839">
        <v>0</v>
      </c>
      <c r="Z32" s="839">
        <v>0</v>
      </c>
      <c r="AA32" s="839">
        <v>0</v>
      </c>
      <c r="AB32" s="839">
        <v>0</v>
      </c>
      <c r="AC32" s="839">
        <v>0</v>
      </c>
      <c r="AD32" s="839">
        <v>0</v>
      </c>
      <c r="AE32" s="839">
        <v>0</v>
      </c>
      <c r="AF32" s="839">
        <v>0</v>
      </c>
      <c r="AG32" s="839">
        <v>8</v>
      </c>
      <c r="AH32" s="839">
        <v>0</v>
      </c>
      <c r="AI32" s="839">
        <v>0</v>
      </c>
      <c r="AJ32" s="839"/>
      <c r="AK32" s="839">
        <v>12</v>
      </c>
      <c r="AL32" s="839">
        <v>1098</v>
      </c>
      <c r="AM32" s="839">
        <v>0</v>
      </c>
      <c r="AN32" s="839">
        <v>0</v>
      </c>
      <c r="AO32" s="839">
        <v>0</v>
      </c>
      <c r="AP32" s="839">
        <v>0</v>
      </c>
      <c r="AQ32" s="839">
        <v>0</v>
      </c>
      <c r="AR32" s="839">
        <v>0</v>
      </c>
      <c r="AS32" s="839">
        <v>0</v>
      </c>
      <c r="AT32" s="839">
        <v>162</v>
      </c>
      <c r="AU32" s="839">
        <v>237</v>
      </c>
      <c r="AV32" s="840">
        <f t="shared" si="2"/>
        <v>49838</v>
      </c>
      <c r="AW32" s="839">
        <v>0</v>
      </c>
      <c r="AX32" s="839">
        <v>0</v>
      </c>
      <c r="AY32" s="839">
        <v>525</v>
      </c>
      <c r="AZ32" s="839">
        <v>0</v>
      </c>
      <c r="BA32" s="839">
        <v>4</v>
      </c>
      <c r="BB32" s="839">
        <v>212</v>
      </c>
      <c r="BC32" s="839">
        <v>0</v>
      </c>
      <c r="BD32" s="839">
        <v>0</v>
      </c>
      <c r="BE32" s="839">
        <v>0</v>
      </c>
      <c r="BF32" s="839">
        <v>5</v>
      </c>
      <c r="BG32" s="839">
        <v>35</v>
      </c>
      <c r="BH32" s="839">
        <v>0</v>
      </c>
      <c r="BI32" s="840">
        <f t="shared" si="3"/>
        <v>50619</v>
      </c>
    </row>
    <row r="33" spans="1:61" s="841" customFormat="1" ht="16.149999999999999" customHeight="1" x14ac:dyDescent="0.2">
      <c r="A33" s="842" t="s">
        <v>1152</v>
      </c>
      <c r="B33" s="843" t="s">
        <v>1153</v>
      </c>
      <c r="C33" s="844">
        <v>5367</v>
      </c>
      <c r="D33" s="844">
        <v>0</v>
      </c>
      <c r="E33" s="844">
        <v>0</v>
      </c>
      <c r="F33" s="844">
        <v>0</v>
      </c>
      <c r="G33" s="844">
        <v>0</v>
      </c>
      <c r="H33" s="844">
        <v>0</v>
      </c>
      <c r="I33" s="844">
        <v>0</v>
      </c>
      <c r="J33" s="844">
        <v>1</v>
      </c>
      <c r="K33" s="844">
        <v>0</v>
      </c>
      <c r="L33" s="844">
        <v>0</v>
      </c>
      <c r="M33" s="844">
        <v>0</v>
      </c>
      <c r="N33" s="844">
        <v>0</v>
      </c>
      <c r="O33" s="844">
        <v>0</v>
      </c>
      <c r="P33" s="844">
        <v>0</v>
      </c>
      <c r="Q33" s="844">
        <v>0</v>
      </c>
      <c r="R33" s="844">
        <v>0</v>
      </c>
      <c r="S33" s="844">
        <v>0</v>
      </c>
      <c r="T33" s="844">
        <v>0</v>
      </c>
      <c r="U33" s="844">
        <v>0</v>
      </c>
      <c r="V33" s="844">
        <v>0</v>
      </c>
      <c r="W33" s="844">
        <v>0</v>
      </c>
      <c r="X33" s="844">
        <v>0</v>
      </c>
      <c r="Y33" s="844">
        <v>0</v>
      </c>
      <c r="Z33" s="844">
        <v>0</v>
      </c>
      <c r="AA33" s="844">
        <v>0</v>
      </c>
      <c r="AB33" s="844">
        <v>0</v>
      </c>
      <c r="AC33" s="844">
        <v>0</v>
      </c>
      <c r="AD33" s="844">
        <v>0</v>
      </c>
      <c r="AE33" s="844">
        <v>0</v>
      </c>
      <c r="AF33" s="844">
        <v>0</v>
      </c>
      <c r="AG33" s="844">
        <v>0</v>
      </c>
      <c r="AH33" s="844">
        <v>0</v>
      </c>
      <c r="AI33" s="844">
        <v>0</v>
      </c>
      <c r="AJ33" s="844"/>
      <c r="AK33" s="844">
        <v>0</v>
      </c>
      <c r="AL33" s="844">
        <v>0</v>
      </c>
      <c r="AM33" s="844">
        <v>0</v>
      </c>
      <c r="AN33" s="844">
        <v>0</v>
      </c>
      <c r="AO33" s="844">
        <v>0</v>
      </c>
      <c r="AP33" s="844">
        <v>0</v>
      </c>
      <c r="AQ33" s="844">
        <v>0</v>
      </c>
      <c r="AR33" s="844">
        <v>0</v>
      </c>
      <c r="AS33" s="844">
        <v>0</v>
      </c>
      <c r="AT33" s="844">
        <v>15</v>
      </c>
      <c r="AU33" s="844">
        <v>8</v>
      </c>
      <c r="AV33" s="845">
        <f t="shared" si="2"/>
        <v>5391</v>
      </c>
      <c r="AW33" s="844">
        <v>0</v>
      </c>
      <c r="AX33" s="844">
        <v>0</v>
      </c>
      <c r="AY33" s="844">
        <v>0</v>
      </c>
      <c r="AZ33" s="844">
        <v>0</v>
      </c>
      <c r="BA33" s="844">
        <v>0</v>
      </c>
      <c r="BB33" s="844">
        <v>0</v>
      </c>
      <c r="BC33" s="844">
        <v>0</v>
      </c>
      <c r="BD33" s="844">
        <v>0</v>
      </c>
      <c r="BE33" s="844">
        <v>0</v>
      </c>
      <c r="BF33" s="844">
        <v>0</v>
      </c>
      <c r="BG33" s="844">
        <v>0</v>
      </c>
      <c r="BH33" s="844">
        <v>0</v>
      </c>
      <c r="BI33" s="845">
        <f t="shared" si="3"/>
        <v>5391</v>
      </c>
    </row>
    <row r="34" spans="1:61" s="841" customFormat="1" ht="16.149999999999999" customHeight="1" x14ac:dyDescent="0.2">
      <c r="A34" s="842" t="s">
        <v>1154</v>
      </c>
      <c r="B34" s="843" t="s">
        <v>1155</v>
      </c>
      <c r="C34" s="844">
        <v>30749</v>
      </c>
      <c r="D34" s="844">
        <v>0</v>
      </c>
      <c r="E34" s="844">
        <v>0</v>
      </c>
      <c r="F34" s="844">
        <v>0</v>
      </c>
      <c r="G34" s="844">
        <v>0</v>
      </c>
      <c r="H34" s="844">
        <v>1</v>
      </c>
      <c r="I34" s="844">
        <v>0</v>
      </c>
      <c r="J34" s="844">
        <v>3</v>
      </c>
      <c r="K34" s="844">
        <v>0</v>
      </c>
      <c r="L34" s="844">
        <v>0</v>
      </c>
      <c r="M34" s="844">
        <v>1</v>
      </c>
      <c r="N34" s="844">
        <v>0</v>
      </c>
      <c r="O34" s="844">
        <v>0</v>
      </c>
      <c r="P34" s="844">
        <v>0</v>
      </c>
      <c r="Q34" s="844">
        <v>0</v>
      </c>
      <c r="R34" s="844">
        <v>0</v>
      </c>
      <c r="S34" s="844">
        <v>0</v>
      </c>
      <c r="T34" s="844">
        <v>9</v>
      </c>
      <c r="U34" s="844">
        <v>0</v>
      </c>
      <c r="V34" s="844">
        <v>0</v>
      </c>
      <c r="W34" s="844">
        <v>1152</v>
      </c>
      <c r="X34" s="844">
        <v>824</v>
      </c>
      <c r="Y34" s="844">
        <v>564</v>
      </c>
      <c r="Z34" s="844">
        <v>0</v>
      </c>
      <c r="AA34" s="844">
        <v>0</v>
      </c>
      <c r="AB34" s="844">
        <v>0</v>
      </c>
      <c r="AC34" s="844">
        <v>0</v>
      </c>
      <c r="AD34" s="844">
        <v>0</v>
      </c>
      <c r="AE34" s="844">
        <v>0</v>
      </c>
      <c r="AF34" s="844">
        <v>0</v>
      </c>
      <c r="AG34" s="844">
        <v>0</v>
      </c>
      <c r="AH34" s="844">
        <v>58</v>
      </c>
      <c r="AI34" s="844">
        <v>0</v>
      </c>
      <c r="AJ34" s="844"/>
      <c r="AK34" s="844">
        <v>0</v>
      </c>
      <c r="AL34" s="844">
        <v>0</v>
      </c>
      <c r="AM34" s="844">
        <v>0</v>
      </c>
      <c r="AN34" s="844">
        <v>0</v>
      </c>
      <c r="AO34" s="844">
        <v>0</v>
      </c>
      <c r="AP34" s="844">
        <v>0</v>
      </c>
      <c r="AQ34" s="844">
        <v>0</v>
      </c>
      <c r="AR34" s="844">
        <v>0</v>
      </c>
      <c r="AS34" s="844">
        <v>0</v>
      </c>
      <c r="AT34" s="844">
        <v>73</v>
      </c>
      <c r="AU34" s="844">
        <v>127</v>
      </c>
      <c r="AV34" s="845">
        <f t="shared" si="2"/>
        <v>33561</v>
      </c>
      <c r="AW34" s="844">
        <v>0</v>
      </c>
      <c r="AX34" s="844">
        <v>2</v>
      </c>
      <c r="AY34" s="844">
        <v>0</v>
      </c>
      <c r="AZ34" s="844">
        <v>3</v>
      </c>
      <c r="BA34" s="844">
        <v>0</v>
      </c>
      <c r="BB34" s="844">
        <v>2</v>
      </c>
      <c r="BC34" s="844">
        <v>0</v>
      </c>
      <c r="BD34" s="844">
        <v>0</v>
      </c>
      <c r="BE34" s="844">
        <v>0</v>
      </c>
      <c r="BF34" s="844">
        <v>11</v>
      </c>
      <c r="BG34" s="844">
        <v>0</v>
      </c>
      <c r="BH34" s="844">
        <v>1</v>
      </c>
      <c r="BI34" s="845">
        <f t="shared" si="3"/>
        <v>33580</v>
      </c>
    </row>
    <row r="35" spans="1:61" s="841" customFormat="1" ht="16.149999999999999" customHeight="1" x14ac:dyDescent="0.2">
      <c r="A35" s="842" t="s">
        <v>1156</v>
      </c>
      <c r="B35" s="843" t="s">
        <v>1157</v>
      </c>
      <c r="C35" s="844">
        <v>13857</v>
      </c>
      <c r="D35" s="844">
        <v>0</v>
      </c>
      <c r="E35" s="844">
        <v>0</v>
      </c>
      <c r="F35" s="844">
        <v>0</v>
      </c>
      <c r="G35" s="844">
        <v>0</v>
      </c>
      <c r="H35" s="844">
        <v>0</v>
      </c>
      <c r="I35" s="844">
        <v>0</v>
      </c>
      <c r="J35" s="844">
        <v>0</v>
      </c>
      <c r="K35" s="844">
        <v>0</v>
      </c>
      <c r="L35" s="844">
        <v>0</v>
      </c>
      <c r="M35" s="844">
        <v>0</v>
      </c>
      <c r="N35" s="844">
        <v>0</v>
      </c>
      <c r="O35" s="844">
        <v>0</v>
      </c>
      <c r="P35" s="844">
        <v>0</v>
      </c>
      <c r="Q35" s="844">
        <v>0</v>
      </c>
      <c r="R35" s="844">
        <v>0</v>
      </c>
      <c r="S35" s="844">
        <v>0</v>
      </c>
      <c r="T35" s="844">
        <v>70</v>
      </c>
      <c r="U35" s="844">
        <v>0</v>
      </c>
      <c r="V35" s="844">
        <v>0</v>
      </c>
      <c r="W35" s="844">
        <v>10</v>
      </c>
      <c r="X35" s="844">
        <v>2</v>
      </c>
      <c r="Y35" s="844">
        <v>0</v>
      </c>
      <c r="Z35" s="844">
        <v>0</v>
      </c>
      <c r="AA35" s="844">
        <v>0</v>
      </c>
      <c r="AB35" s="844">
        <v>0</v>
      </c>
      <c r="AC35" s="844">
        <v>0</v>
      </c>
      <c r="AD35" s="844">
        <v>0</v>
      </c>
      <c r="AE35" s="844">
        <v>0</v>
      </c>
      <c r="AF35" s="844">
        <v>0</v>
      </c>
      <c r="AG35" s="844">
        <v>0</v>
      </c>
      <c r="AH35" s="844">
        <v>0</v>
      </c>
      <c r="AI35" s="844">
        <v>0</v>
      </c>
      <c r="AJ35" s="844"/>
      <c r="AK35" s="844">
        <v>0</v>
      </c>
      <c r="AL35" s="844">
        <v>0</v>
      </c>
      <c r="AM35" s="844">
        <v>0</v>
      </c>
      <c r="AN35" s="844">
        <v>0</v>
      </c>
      <c r="AO35" s="844">
        <v>0</v>
      </c>
      <c r="AP35" s="844">
        <v>0</v>
      </c>
      <c r="AQ35" s="844">
        <v>0</v>
      </c>
      <c r="AR35" s="844">
        <v>0</v>
      </c>
      <c r="AS35" s="844">
        <v>0</v>
      </c>
      <c r="AT35" s="844">
        <v>30</v>
      </c>
      <c r="AU35" s="844">
        <v>60</v>
      </c>
      <c r="AV35" s="845">
        <f t="shared" si="2"/>
        <v>14029</v>
      </c>
      <c r="AW35" s="844">
        <v>0</v>
      </c>
      <c r="AX35" s="844">
        <v>0</v>
      </c>
      <c r="AY35" s="844">
        <v>1</v>
      </c>
      <c r="AZ35" s="844">
        <v>3</v>
      </c>
      <c r="BA35" s="844">
        <v>1</v>
      </c>
      <c r="BB35" s="844">
        <v>0</v>
      </c>
      <c r="BC35" s="844">
        <v>70</v>
      </c>
      <c r="BD35" s="844">
        <v>0</v>
      </c>
      <c r="BE35" s="844">
        <v>0</v>
      </c>
      <c r="BF35" s="844">
        <v>8</v>
      </c>
      <c r="BG35" s="844">
        <v>0</v>
      </c>
      <c r="BH35" s="844">
        <v>0</v>
      </c>
      <c r="BI35" s="845">
        <f t="shared" si="3"/>
        <v>14112</v>
      </c>
    </row>
    <row r="36" spans="1:61" s="841" customFormat="1" ht="16.149999999999999" customHeight="1" x14ac:dyDescent="0.2">
      <c r="A36" s="846" t="s">
        <v>1158</v>
      </c>
      <c r="B36" s="847" t="s">
        <v>1159</v>
      </c>
      <c r="C36" s="848">
        <v>2423</v>
      </c>
      <c r="D36" s="848">
        <v>0</v>
      </c>
      <c r="E36" s="848">
        <v>0</v>
      </c>
      <c r="F36" s="848">
        <v>0</v>
      </c>
      <c r="G36" s="848">
        <v>0</v>
      </c>
      <c r="H36" s="848">
        <v>0</v>
      </c>
      <c r="I36" s="848">
        <v>0</v>
      </c>
      <c r="J36" s="848">
        <v>0</v>
      </c>
      <c r="K36" s="848">
        <v>0</v>
      </c>
      <c r="L36" s="848">
        <v>0</v>
      </c>
      <c r="M36" s="848">
        <v>0</v>
      </c>
      <c r="N36" s="848">
        <v>0</v>
      </c>
      <c r="O36" s="848">
        <v>0</v>
      </c>
      <c r="P36" s="848">
        <v>0</v>
      </c>
      <c r="Q36" s="848">
        <v>0</v>
      </c>
      <c r="R36" s="848">
        <v>0</v>
      </c>
      <c r="S36" s="848">
        <v>0</v>
      </c>
      <c r="T36" s="848">
        <v>0</v>
      </c>
      <c r="U36" s="848">
        <v>0</v>
      </c>
      <c r="V36" s="848">
        <v>0</v>
      </c>
      <c r="W36" s="848">
        <v>0</v>
      </c>
      <c r="X36" s="848">
        <v>0</v>
      </c>
      <c r="Y36" s="848">
        <v>0</v>
      </c>
      <c r="Z36" s="848">
        <v>0</v>
      </c>
      <c r="AA36" s="848">
        <v>0</v>
      </c>
      <c r="AB36" s="848">
        <v>0</v>
      </c>
      <c r="AC36" s="848">
        <v>0</v>
      </c>
      <c r="AD36" s="848">
        <v>0</v>
      </c>
      <c r="AE36" s="848">
        <v>0</v>
      </c>
      <c r="AF36" s="848">
        <v>0</v>
      </c>
      <c r="AG36" s="848">
        <v>0</v>
      </c>
      <c r="AH36" s="848">
        <v>0</v>
      </c>
      <c r="AI36" s="848">
        <v>0</v>
      </c>
      <c r="AJ36" s="848"/>
      <c r="AK36" s="848">
        <v>0</v>
      </c>
      <c r="AL36" s="848">
        <v>0</v>
      </c>
      <c r="AM36" s="848">
        <v>0</v>
      </c>
      <c r="AN36" s="848">
        <v>0</v>
      </c>
      <c r="AO36" s="848">
        <v>0</v>
      </c>
      <c r="AP36" s="848">
        <v>0</v>
      </c>
      <c r="AQ36" s="848">
        <v>0</v>
      </c>
      <c r="AR36" s="848">
        <v>0</v>
      </c>
      <c r="AS36" s="848">
        <v>0</v>
      </c>
      <c r="AT36" s="848">
        <v>2</v>
      </c>
      <c r="AU36" s="848">
        <v>13</v>
      </c>
      <c r="AV36" s="849">
        <f t="shared" si="2"/>
        <v>2438</v>
      </c>
      <c r="AW36" s="848">
        <v>0</v>
      </c>
      <c r="AX36" s="848">
        <v>0</v>
      </c>
      <c r="AY36" s="848">
        <v>0</v>
      </c>
      <c r="AZ36" s="848">
        <v>0</v>
      </c>
      <c r="BA36" s="848">
        <v>0</v>
      </c>
      <c r="BB36" s="848">
        <v>0</v>
      </c>
      <c r="BC36" s="848">
        <v>0</v>
      </c>
      <c r="BD36" s="848">
        <v>0</v>
      </c>
      <c r="BE36" s="848">
        <v>0</v>
      </c>
      <c r="BF36" s="848">
        <v>0</v>
      </c>
      <c r="BG36" s="848">
        <v>0</v>
      </c>
      <c r="BH36" s="848">
        <v>0</v>
      </c>
      <c r="BI36" s="849">
        <f t="shared" si="3"/>
        <v>2438</v>
      </c>
    </row>
    <row r="37" spans="1:61" s="841" customFormat="1" ht="16.149999999999999" customHeight="1" x14ac:dyDescent="0.2">
      <c r="A37" s="837" t="s">
        <v>1160</v>
      </c>
      <c r="B37" s="838" t="s">
        <v>1161</v>
      </c>
      <c r="C37" s="839">
        <v>5590</v>
      </c>
      <c r="D37" s="839">
        <v>0</v>
      </c>
      <c r="E37" s="839">
        <v>0</v>
      </c>
      <c r="F37" s="839">
        <v>47</v>
      </c>
      <c r="G37" s="839">
        <v>0</v>
      </c>
      <c r="H37" s="839">
        <v>0</v>
      </c>
      <c r="I37" s="839">
        <v>0</v>
      </c>
      <c r="J37" s="839">
        <v>0</v>
      </c>
      <c r="K37" s="839">
        <v>0</v>
      </c>
      <c r="L37" s="839">
        <v>0</v>
      </c>
      <c r="M37" s="839">
        <v>0</v>
      </c>
      <c r="N37" s="839">
        <v>0</v>
      </c>
      <c r="O37" s="839">
        <v>0</v>
      </c>
      <c r="P37" s="839">
        <v>0</v>
      </c>
      <c r="Q37" s="839">
        <v>0</v>
      </c>
      <c r="R37" s="839">
        <v>0</v>
      </c>
      <c r="S37" s="839">
        <v>0</v>
      </c>
      <c r="T37" s="839">
        <v>0</v>
      </c>
      <c r="U37" s="839">
        <v>0</v>
      </c>
      <c r="V37" s="839">
        <v>6</v>
      </c>
      <c r="W37" s="839">
        <v>0</v>
      </c>
      <c r="X37" s="839">
        <v>0</v>
      </c>
      <c r="Y37" s="839">
        <v>0</v>
      </c>
      <c r="Z37" s="839">
        <v>0</v>
      </c>
      <c r="AA37" s="839">
        <v>0</v>
      </c>
      <c r="AB37" s="839">
        <v>413</v>
      </c>
      <c r="AC37" s="839">
        <v>0</v>
      </c>
      <c r="AD37" s="839">
        <v>0</v>
      </c>
      <c r="AE37" s="839">
        <v>0</v>
      </c>
      <c r="AF37" s="839">
        <v>0</v>
      </c>
      <c r="AG37" s="839">
        <v>0</v>
      </c>
      <c r="AH37" s="839">
        <v>0</v>
      </c>
      <c r="AI37" s="839">
        <v>0</v>
      </c>
      <c r="AJ37" s="839"/>
      <c r="AK37" s="839">
        <v>0</v>
      </c>
      <c r="AL37" s="839">
        <v>0</v>
      </c>
      <c r="AM37" s="839">
        <v>0</v>
      </c>
      <c r="AN37" s="839">
        <v>0</v>
      </c>
      <c r="AO37" s="839">
        <v>0</v>
      </c>
      <c r="AP37" s="839">
        <v>0</v>
      </c>
      <c r="AQ37" s="839">
        <v>0</v>
      </c>
      <c r="AR37" s="839">
        <v>0</v>
      </c>
      <c r="AS37" s="839">
        <v>0</v>
      </c>
      <c r="AT37" s="839">
        <v>20</v>
      </c>
      <c r="AU37" s="839">
        <v>14</v>
      </c>
      <c r="AV37" s="840">
        <f t="shared" si="2"/>
        <v>6090</v>
      </c>
      <c r="AW37" s="839">
        <v>1</v>
      </c>
      <c r="AX37" s="839">
        <v>0</v>
      </c>
      <c r="AY37" s="839">
        <v>0</v>
      </c>
      <c r="AZ37" s="839">
        <v>0</v>
      </c>
      <c r="BA37" s="839">
        <v>0</v>
      </c>
      <c r="BB37" s="839">
        <v>0</v>
      </c>
      <c r="BC37" s="839">
        <v>0</v>
      </c>
      <c r="BD37" s="839">
        <v>0</v>
      </c>
      <c r="BE37" s="839">
        <v>0</v>
      </c>
      <c r="BF37" s="839">
        <v>7</v>
      </c>
      <c r="BG37" s="839">
        <v>0</v>
      </c>
      <c r="BH37" s="839">
        <v>0</v>
      </c>
      <c r="BI37" s="840">
        <f t="shared" si="3"/>
        <v>6098</v>
      </c>
    </row>
    <row r="38" spans="1:61" s="841" customFormat="1" ht="16.149999999999999" customHeight="1" x14ac:dyDescent="0.2">
      <c r="A38" s="842" t="s">
        <v>1162</v>
      </c>
      <c r="B38" s="843" t="s">
        <v>1163</v>
      </c>
      <c r="C38" s="844">
        <v>25359</v>
      </c>
      <c r="D38" s="844">
        <v>0</v>
      </c>
      <c r="E38" s="844">
        <v>4</v>
      </c>
      <c r="F38" s="844">
        <v>0</v>
      </c>
      <c r="G38" s="844">
        <v>0</v>
      </c>
      <c r="H38" s="844">
        <v>0</v>
      </c>
      <c r="I38" s="844">
        <v>0</v>
      </c>
      <c r="J38" s="844">
        <v>0</v>
      </c>
      <c r="K38" s="844">
        <v>0</v>
      </c>
      <c r="L38" s="844">
        <v>0</v>
      </c>
      <c r="M38" s="844">
        <v>19</v>
      </c>
      <c r="N38" s="844">
        <v>0</v>
      </c>
      <c r="O38" s="844">
        <v>1</v>
      </c>
      <c r="P38" s="844">
        <v>0</v>
      </c>
      <c r="Q38" s="844">
        <v>0</v>
      </c>
      <c r="R38" s="844">
        <v>0</v>
      </c>
      <c r="S38" s="844">
        <v>2</v>
      </c>
      <c r="T38" s="844">
        <v>4</v>
      </c>
      <c r="U38" s="844">
        <v>0</v>
      </c>
      <c r="V38" s="844">
        <v>0</v>
      </c>
      <c r="W38" s="844">
        <v>0</v>
      </c>
      <c r="X38" s="844">
        <v>0</v>
      </c>
      <c r="Y38" s="844">
        <v>0</v>
      </c>
      <c r="Z38" s="844">
        <v>0</v>
      </c>
      <c r="AA38" s="844">
        <v>6</v>
      </c>
      <c r="AB38" s="844">
        <v>0</v>
      </c>
      <c r="AC38" s="844">
        <v>0</v>
      </c>
      <c r="AD38" s="844">
        <v>0</v>
      </c>
      <c r="AE38" s="844">
        <v>0</v>
      </c>
      <c r="AF38" s="844">
        <v>0</v>
      </c>
      <c r="AG38" s="844">
        <v>0</v>
      </c>
      <c r="AH38" s="844">
        <v>0</v>
      </c>
      <c r="AI38" s="844">
        <v>0</v>
      </c>
      <c r="AJ38" s="844"/>
      <c r="AK38" s="844">
        <v>0</v>
      </c>
      <c r="AL38" s="844">
        <v>0</v>
      </c>
      <c r="AM38" s="844">
        <v>0</v>
      </c>
      <c r="AN38" s="844">
        <v>0</v>
      </c>
      <c r="AO38" s="844">
        <v>0</v>
      </c>
      <c r="AP38" s="844">
        <v>0</v>
      </c>
      <c r="AQ38" s="844">
        <v>0</v>
      </c>
      <c r="AR38" s="844">
        <v>0</v>
      </c>
      <c r="AS38" s="844">
        <v>0</v>
      </c>
      <c r="AT38" s="844">
        <v>82</v>
      </c>
      <c r="AU38" s="844">
        <v>298</v>
      </c>
      <c r="AV38" s="845">
        <f t="shared" si="2"/>
        <v>25775</v>
      </c>
      <c r="AW38" s="844">
        <v>0</v>
      </c>
      <c r="AX38" s="844">
        <v>0</v>
      </c>
      <c r="AY38" s="844">
        <v>0</v>
      </c>
      <c r="AZ38" s="844">
        <v>0</v>
      </c>
      <c r="BA38" s="844">
        <v>0</v>
      </c>
      <c r="BB38" s="844">
        <v>0</v>
      </c>
      <c r="BC38" s="844">
        <v>0</v>
      </c>
      <c r="BD38" s="844">
        <v>0</v>
      </c>
      <c r="BE38" s="844">
        <v>0</v>
      </c>
      <c r="BF38" s="844">
        <v>12</v>
      </c>
      <c r="BG38" s="844">
        <v>0</v>
      </c>
      <c r="BH38" s="844">
        <v>0</v>
      </c>
      <c r="BI38" s="845">
        <f t="shared" si="3"/>
        <v>25787</v>
      </c>
    </row>
    <row r="39" spans="1:61" s="841" customFormat="1" ht="16.149999999999999" customHeight="1" x14ac:dyDescent="0.2">
      <c r="A39" s="842" t="s">
        <v>1164</v>
      </c>
      <c r="B39" s="843" t="s">
        <v>1165</v>
      </c>
      <c r="C39" s="844">
        <v>1103</v>
      </c>
      <c r="D39" s="844">
        <v>0</v>
      </c>
      <c r="E39" s="844">
        <v>0</v>
      </c>
      <c r="F39" s="844">
        <v>0</v>
      </c>
      <c r="G39" s="844">
        <v>0</v>
      </c>
      <c r="H39" s="844">
        <v>0</v>
      </c>
      <c r="I39" s="844">
        <v>0</v>
      </c>
      <c r="J39" s="844">
        <v>0</v>
      </c>
      <c r="K39" s="844">
        <v>0</v>
      </c>
      <c r="L39" s="844">
        <v>0</v>
      </c>
      <c r="M39" s="844">
        <v>0</v>
      </c>
      <c r="N39" s="844">
        <v>0</v>
      </c>
      <c r="O39" s="844">
        <v>0</v>
      </c>
      <c r="P39" s="844">
        <v>0</v>
      </c>
      <c r="Q39" s="844">
        <v>0</v>
      </c>
      <c r="R39" s="844">
        <v>0</v>
      </c>
      <c r="S39" s="844">
        <v>0</v>
      </c>
      <c r="T39" s="844">
        <v>0</v>
      </c>
      <c r="U39" s="844">
        <v>0</v>
      </c>
      <c r="V39" s="844">
        <v>0</v>
      </c>
      <c r="W39" s="844">
        <v>0</v>
      </c>
      <c r="X39" s="844">
        <v>0</v>
      </c>
      <c r="Y39" s="844">
        <v>0</v>
      </c>
      <c r="Z39" s="844">
        <v>0</v>
      </c>
      <c r="AA39" s="844">
        <v>0</v>
      </c>
      <c r="AB39" s="844">
        <v>0</v>
      </c>
      <c r="AC39" s="844">
        <v>0</v>
      </c>
      <c r="AD39" s="844">
        <v>0</v>
      </c>
      <c r="AE39" s="844">
        <v>0</v>
      </c>
      <c r="AF39" s="844">
        <v>0</v>
      </c>
      <c r="AG39" s="844">
        <v>0</v>
      </c>
      <c r="AH39" s="844">
        <v>0</v>
      </c>
      <c r="AI39" s="844">
        <v>0</v>
      </c>
      <c r="AJ39" s="844"/>
      <c r="AK39" s="844">
        <v>0</v>
      </c>
      <c r="AL39" s="844">
        <v>0</v>
      </c>
      <c r="AM39" s="844">
        <v>0</v>
      </c>
      <c r="AN39" s="844">
        <v>0</v>
      </c>
      <c r="AO39" s="844">
        <v>0</v>
      </c>
      <c r="AP39" s="844">
        <v>0</v>
      </c>
      <c r="AQ39" s="844">
        <v>0</v>
      </c>
      <c r="AR39" s="844">
        <v>0</v>
      </c>
      <c r="AS39" s="844">
        <v>0</v>
      </c>
      <c r="AT39" s="844">
        <v>1</v>
      </c>
      <c r="AU39" s="844">
        <v>237</v>
      </c>
      <c r="AV39" s="845">
        <f t="shared" ref="AV39:AV75" si="4">SUM(C39:AU39)</f>
        <v>1341</v>
      </c>
      <c r="AW39" s="844">
        <v>0</v>
      </c>
      <c r="AX39" s="844">
        <v>0</v>
      </c>
      <c r="AY39" s="844">
        <v>0</v>
      </c>
      <c r="AZ39" s="844">
        <v>0</v>
      </c>
      <c r="BA39" s="844">
        <v>273</v>
      </c>
      <c r="BB39" s="844">
        <v>0</v>
      </c>
      <c r="BC39" s="844">
        <v>0</v>
      </c>
      <c r="BD39" s="844">
        <v>0</v>
      </c>
      <c r="BE39" s="844">
        <v>0</v>
      </c>
      <c r="BF39" s="844">
        <v>1</v>
      </c>
      <c r="BG39" s="844">
        <v>0</v>
      </c>
      <c r="BH39" s="844">
        <v>0</v>
      </c>
      <c r="BI39" s="845">
        <f t="shared" si="3"/>
        <v>1615</v>
      </c>
    </row>
    <row r="40" spans="1:61" s="841" customFormat="1" ht="16.149999999999999" customHeight="1" x14ac:dyDescent="0.2">
      <c r="A40" s="842" t="s">
        <v>1166</v>
      </c>
      <c r="B40" s="843" t="s">
        <v>1167</v>
      </c>
      <c r="C40" s="844">
        <v>3277</v>
      </c>
      <c r="D40" s="844">
        <v>0</v>
      </c>
      <c r="E40" s="844">
        <v>0</v>
      </c>
      <c r="F40" s="844">
        <v>3</v>
      </c>
      <c r="G40" s="844">
        <v>0</v>
      </c>
      <c r="H40" s="844">
        <v>0</v>
      </c>
      <c r="I40" s="844">
        <v>0</v>
      </c>
      <c r="J40" s="844">
        <v>0</v>
      </c>
      <c r="K40" s="844">
        <v>0</v>
      </c>
      <c r="L40" s="844">
        <v>0</v>
      </c>
      <c r="M40" s="844">
        <v>0</v>
      </c>
      <c r="N40" s="844">
        <v>0</v>
      </c>
      <c r="O40" s="844">
        <v>0</v>
      </c>
      <c r="P40" s="844">
        <v>0</v>
      </c>
      <c r="Q40" s="844">
        <v>0</v>
      </c>
      <c r="R40" s="844">
        <v>0</v>
      </c>
      <c r="S40" s="844">
        <v>0</v>
      </c>
      <c r="T40" s="844">
        <v>0</v>
      </c>
      <c r="U40" s="844">
        <v>0</v>
      </c>
      <c r="V40" s="844">
        <v>0</v>
      </c>
      <c r="W40" s="844">
        <v>0</v>
      </c>
      <c r="X40" s="844">
        <v>0</v>
      </c>
      <c r="Y40" s="844">
        <v>0</v>
      </c>
      <c r="Z40" s="844">
        <v>0</v>
      </c>
      <c r="AA40" s="844">
        <v>0</v>
      </c>
      <c r="AB40" s="844">
        <v>0</v>
      </c>
      <c r="AC40" s="844">
        <v>0</v>
      </c>
      <c r="AD40" s="844">
        <v>0</v>
      </c>
      <c r="AE40" s="844">
        <v>0</v>
      </c>
      <c r="AF40" s="844">
        <v>0</v>
      </c>
      <c r="AG40" s="844">
        <v>0</v>
      </c>
      <c r="AH40" s="844">
        <v>0</v>
      </c>
      <c r="AI40" s="844">
        <v>0</v>
      </c>
      <c r="AJ40" s="844"/>
      <c r="AK40" s="844">
        <v>0</v>
      </c>
      <c r="AL40" s="844">
        <v>0</v>
      </c>
      <c r="AM40" s="844">
        <v>0</v>
      </c>
      <c r="AN40" s="844">
        <v>0</v>
      </c>
      <c r="AO40" s="844">
        <v>0</v>
      </c>
      <c r="AP40" s="844">
        <v>0</v>
      </c>
      <c r="AQ40" s="844">
        <v>0</v>
      </c>
      <c r="AR40" s="844">
        <v>0</v>
      </c>
      <c r="AS40" s="844">
        <v>0</v>
      </c>
      <c r="AT40" s="844">
        <v>35</v>
      </c>
      <c r="AU40" s="844">
        <v>27</v>
      </c>
      <c r="AV40" s="845">
        <f t="shared" si="4"/>
        <v>3342</v>
      </c>
      <c r="AW40" s="844">
        <v>9</v>
      </c>
      <c r="AX40" s="844">
        <v>0</v>
      </c>
      <c r="AY40" s="844">
        <v>0</v>
      </c>
      <c r="AZ40" s="844">
        <v>0</v>
      </c>
      <c r="BA40" s="844">
        <v>6</v>
      </c>
      <c r="BB40" s="844">
        <v>0</v>
      </c>
      <c r="BC40" s="844">
        <v>0</v>
      </c>
      <c r="BD40" s="844">
        <v>0</v>
      </c>
      <c r="BE40" s="844">
        <v>0</v>
      </c>
      <c r="BF40" s="844">
        <v>0</v>
      </c>
      <c r="BG40" s="844">
        <v>0</v>
      </c>
      <c r="BH40" s="844">
        <v>1</v>
      </c>
      <c r="BI40" s="845">
        <f t="shared" si="3"/>
        <v>3358</v>
      </c>
    </row>
    <row r="41" spans="1:61" s="841" customFormat="1" ht="16.149999999999999" customHeight="1" x14ac:dyDescent="0.2">
      <c r="A41" s="846" t="s">
        <v>1168</v>
      </c>
      <c r="B41" s="847" t="s">
        <v>1169</v>
      </c>
      <c r="C41" s="848">
        <v>5384</v>
      </c>
      <c r="D41" s="848">
        <v>0</v>
      </c>
      <c r="E41" s="848">
        <v>0</v>
      </c>
      <c r="F41" s="848">
        <v>0</v>
      </c>
      <c r="G41" s="848">
        <v>0</v>
      </c>
      <c r="H41" s="848">
        <v>0</v>
      </c>
      <c r="I41" s="848">
        <v>0</v>
      </c>
      <c r="J41" s="848">
        <v>0</v>
      </c>
      <c r="K41" s="848">
        <v>0</v>
      </c>
      <c r="L41" s="848">
        <v>0</v>
      </c>
      <c r="M41" s="848">
        <v>0</v>
      </c>
      <c r="N41" s="848">
        <v>0</v>
      </c>
      <c r="O41" s="848">
        <v>0</v>
      </c>
      <c r="P41" s="848">
        <v>0</v>
      </c>
      <c r="Q41" s="848">
        <v>0</v>
      </c>
      <c r="R41" s="848">
        <v>0</v>
      </c>
      <c r="S41" s="848">
        <v>0</v>
      </c>
      <c r="T41" s="848">
        <v>0</v>
      </c>
      <c r="U41" s="848">
        <v>0</v>
      </c>
      <c r="V41" s="848">
        <v>0</v>
      </c>
      <c r="W41" s="848">
        <v>0</v>
      </c>
      <c r="X41" s="848">
        <v>0</v>
      </c>
      <c r="Y41" s="848">
        <v>0</v>
      </c>
      <c r="Z41" s="848">
        <v>0</v>
      </c>
      <c r="AA41" s="848">
        <v>0</v>
      </c>
      <c r="AB41" s="848">
        <v>0</v>
      </c>
      <c r="AC41" s="848">
        <v>0</v>
      </c>
      <c r="AD41" s="848">
        <v>0</v>
      </c>
      <c r="AE41" s="848">
        <v>0</v>
      </c>
      <c r="AF41" s="848">
        <v>0</v>
      </c>
      <c r="AG41" s="848">
        <v>0</v>
      </c>
      <c r="AH41" s="848">
        <v>0</v>
      </c>
      <c r="AI41" s="848">
        <v>0</v>
      </c>
      <c r="AJ41" s="848"/>
      <c r="AK41" s="848">
        <v>0</v>
      </c>
      <c r="AL41" s="848">
        <v>0</v>
      </c>
      <c r="AM41" s="848">
        <v>0</v>
      </c>
      <c r="AN41" s="848">
        <v>0</v>
      </c>
      <c r="AO41" s="848">
        <v>0</v>
      </c>
      <c r="AP41" s="848">
        <v>0</v>
      </c>
      <c r="AQ41" s="848">
        <v>0</v>
      </c>
      <c r="AR41" s="848">
        <v>0</v>
      </c>
      <c r="AS41" s="848">
        <v>0</v>
      </c>
      <c r="AT41" s="848">
        <v>17</v>
      </c>
      <c r="AU41" s="848">
        <v>9</v>
      </c>
      <c r="AV41" s="849">
        <f t="shared" si="4"/>
        <v>5410</v>
      </c>
      <c r="AW41" s="848">
        <v>0</v>
      </c>
      <c r="AX41" s="848">
        <v>0</v>
      </c>
      <c r="AY41" s="848">
        <v>0</v>
      </c>
      <c r="AZ41" s="848">
        <v>0</v>
      </c>
      <c r="BA41" s="848">
        <v>0</v>
      </c>
      <c r="BB41" s="848">
        <v>0</v>
      </c>
      <c r="BC41" s="848">
        <v>0</v>
      </c>
      <c r="BD41" s="848">
        <v>0</v>
      </c>
      <c r="BE41" s="848">
        <v>0</v>
      </c>
      <c r="BF41" s="848">
        <v>21</v>
      </c>
      <c r="BG41" s="848">
        <v>0</v>
      </c>
      <c r="BH41" s="848">
        <v>0</v>
      </c>
      <c r="BI41" s="849">
        <f t="shared" si="3"/>
        <v>5431</v>
      </c>
    </row>
    <row r="42" spans="1:61" s="841" customFormat="1" ht="16.149999999999999" customHeight="1" x14ac:dyDescent="0.2">
      <c r="A42" s="837" t="s">
        <v>1170</v>
      </c>
      <c r="B42" s="838" t="s">
        <v>1171</v>
      </c>
      <c r="C42" s="839">
        <v>43829</v>
      </c>
      <c r="D42" s="839">
        <v>0</v>
      </c>
      <c r="E42" s="839">
        <v>0</v>
      </c>
      <c r="F42" s="839">
        <v>0</v>
      </c>
      <c r="G42" s="839">
        <v>332</v>
      </c>
      <c r="H42" s="839">
        <v>250</v>
      </c>
      <c r="I42" s="839">
        <v>718</v>
      </c>
      <c r="J42" s="839">
        <v>0</v>
      </c>
      <c r="K42" s="839">
        <v>0</v>
      </c>
      <c r="L42" s="839">
        <v>0</v>
      </c>
      <c r="M42" s="839">
        <v>1</v>
      </c>
      <c r="N42" s="839">
        <v>19</v>
      </c>
      <c r="O42" s="839">
        <v>0</v>
      </c>
      <c r="P42" s="839">
        <v>0</v>
      </c>
      <c r="Q42" s="839">
        <v>0</v>
      </c>
      <c r="R42" s="839">
        <v>0</v>
      </c>
      <c r="S42" s="839">
        <v>0</v>
      </c>
      <c r="T42" s="839">
        <v>4</v>
      </c>
      <c r="U42" s="839">
        <v>0</v>
      </c>
      <c r="V42" s="839">
        <v>0</v>
      </c>
      <c r="W42" s="839">
        <v>0</v>
      </c>
      <c r="X42" s="839">
        <v>0</v>
      </c>
      <c r="Y42" s="839">
        <v>0</v>
      </c>
      <c r="Z42" s="839">
        <v>0</v>
      </c>
      <c r="AA42" s="839">
        <v>0</v>
      </c>
      <c r="AB42" s="839">
        <v>0</v>
      </c>
      <c r="AC42" s="839">
        <v>0</v>
      </c>
      <c r="AD42" s="839">
        <v>0</v>
      </c>
      <c r="AE42" s="839">
        <v>0</v>
      </c>
      <c r="AF42" s="839">
        <v>0</v>
      </c>
      <c r="AG42" s="839">
        <v>96</v>
      </c>
      <c r="AH42" s="839">
        <v>0</v>
      </c>
      <c r="AI42" s="839">
        <v>0</v>
      </c>
      <c r="AJ42" s="839"/>
      <c r="AK42" s="839">
        <v>156</v>
      </c>
      <c r="AL42" s="839">
        <v>124</v>
      </c>
      <c r="AM42" s="839">
        <v>0</v>
      </c>
      <c r="AN42" s="839">
        <v>0</v>
      </c>
      <c r="AO42" s="839">
        <v>0</v>
      </c>
      <c r="AP42" s="839">
        <v>0</v>
      </c>
      <c r="AQ42" s="839">
        <v>0</v>
      </c>
      <c r="AR42" s="839">
        <v>0</v>
      </c>
      <c r="AS42" s="839">
        <v>0</v>
      </c>
      <c r="AT42" s="839">
        <v>90</v>
      </c>
      <c r="AU42" s="839">
        <v>81</v>
      </c>
      <c r="AV42" s="840">
        <f t="shared" si="4"/>
        <v>45700</v>
      </c>
      <c r="AW42" s="839">
        <v>0</v>
      </c>
      <c r="AX42" s="839">
        <v>0</v>
      </c>
      <c r="AY42" s="839">
        <v>724</v>
      </c>
      <c r="AZ42" s="839">
        <v>0</v>
      </c>
      <c r="BA42" s="839">
        <v>0</v>
      </c>
      <c r="BB42" s="839">
        <v>185</v>
      </c>
      <c r="BC42" s="839">
        <v>0</v>
      </c>
      <c r="BD42" s="839">
        <v>0</v>
      </c>
      <c r="BE42" s="839">
        <v>0</v>
      </c>
      <c r="BF42" s="839">
        <v>0</v>
      </c>
      <c r="BG42" s="839">
        <v>133</v>
      </c>
      <c r="BH42" s="839">
        <v>0</v>
      </c>
      <c r="BI42" s="840">
        <f t="shared" si="3"/>
        <v>46742</v>
      </c>
    </row>
    <row r="43" spans="1:61" s="841" customFormat="1" ht="16.149999999999999" customHeight="1" x14ac:dyDescent="0.2">
      <c r="A43" s="842" t="s">
        <v>1172</v>
      </c>
      <c r="B43" s="843" t="s">
        <v>1173</v>
      </c>
      <c r="C43" s="844">
        <v>17955</v>
      </c>
      <c r="D43" s="844">
        <v>0</v>
      </c>
      <c r="E43" s="844">
        <v>0</v>
      </c>
      <c r="F43" s="844">
        <v>7</v>
      </c>
      <c r="G43" s="844">
        <v>0</v>
      </c>
      <c r="H43" s="844">
        <v>0</v>
      </c>
      <c r="I43" s="844">
        <v>0</v>
      </c>
      <c r="J43" s="844">
        <v>0</v>
      </c>
      <c r="K43" s="844">
        <v>0</v>
      </c>
      <c r="L43" s="844">
        <v>0</v>
      </c>
      <c r="M43" s="844">
        <v>0</v>
      </c>
      <c r="N43" s="844">
        <v>1</v>
      </c>
      <c r="O43" s="844">
        <v>0</v>
      </c>
      <c r="P43" s="844">
        <v>1</v>
      </c>
      <c r="Q43" s="844">
        <v>1</v>
      </c>
      <c r="R43" s="844">
        <v>0</v>
      </c>
      <c r="S43" s="844">
        <v>0</v>
      </c>
      <c r="T43" s="844">
        <v>0</v>
      </c>
      <c r="U43" s="844">
        <v>0</v>
      </c>
      <c r="V43" s="844">
        <v>0</v>
      </c>
      <c r="W43" s="844">
        <v>0</v>
      </c>
      <c r="X43" s="844">
        <v>0</v>
      </c>
      <c r="Y43" s="844">
        <v>0</v>
      </c>
      <c r="Z43" s="844">
        <v>0</v>
      </c>
      <c r="AA43" s="844">
        <v>0</v>
      </c>
      <c r="AB43" s="844">
        <v>12</v>
      </c>
      <c r="AC43" s="844">
        <v>0</v>
      </c>
      <c r="AD43" s="844">
        <v>0</v>
      </c>
      <c r="AE43" s="844">
        <v>0</v>
      </c>
      <c r="AF43" s="844">
        <v>0</v>
      </c>
      <c r="AG43" s="844">
        <v>0</v>
      </c>
      <c r="AH43" s="844">
        <v>0</v>
      </c>
      <c r="AI43" s="844">
        <v>0</v>
      </c>
      <c r="AJ43" s="844"/>
      <c r="AK43" s="844">
        <v>0</v>
      </c>
      <c r="AL43" s="844">
        <v>0</v>
      </c>
      <c r="AM43" s="844">
        <v>0</v>
      </c>
      <c r="AN43" s="844">
        <v>0</v>
      </c>
      <c r="AO43" s="844">
        <v>0</v>
      </c>
      <c r="AP43" s="844">
        <v>0</v>
      </c>
      <c r="AQ43" s="844">
        <v>0</v>
      </c>
      <c r="AR43" s="844">
        <v>0</v>
      </c>
      <c r="AS43" s="844">
        <v>0</v>
      </c>
      <c r="AT43" s="844">
        <v>64</v>
      </c>
      <c r="AU43" s="844">
        <v>89</v>
      </c>
      <c r="AV43" s="845">
        <f t="shared" si="4"/>
        <v>18130</v>
      </c>
      <c r="AW43" s="844">
        <v>69</v>
      </c>
      <c r="AX43" s="844">
        <v>0</v>
      </c>
      <c r="AY43" s="844">
        <v>0</v>
      </c>
      <c r="AZ43" s="844">
        <v>0</v>
      </c>
      <c r="BA43" s="844">
        <v>2</v>
      </c>
      <c r="BB43" s="844">
        <v>0</v>
      </c>
      <c r="BC43" s="844">
        <v>0</v>
      </c>
      <c r="BD43" s="844">
        <v>0</v>
      </c>
      <c r="BE43" s="844">
        <v>0</v>
      </c>
      <c r="BF43" s="844">
        <v>8</v>
      </c>
      <c r="BG43" s="844">
        <v>0</v>
      </c>
      <c r="BH43" s="844">
        <v>0</v>
      </c>
      <c r="BI43" s="845">
        <f t="shared" si="3"/>
        <v>18209</v>
      </c>
    </row>
    <row r="44" spans="1:61" s="841" customFormat="1" ht="16.149999999999999" customHeight="1" x14ac:dyDescent="0.2">
      <c r="A44" s="842" t="s">
        <v>1174</v>
      </c>
      <c r="B44" s="843" t="s">
        <v>1175</v>
      </c>
      <c r="C44" s="844">
        <v>3755</v>
      </c>
      <c r="D44" s="844">
        <v>0</v>
      </c>
      <c r="E44" s="844">
        <v>0</v>
      </c>
      <c r="F44" s="844">
        <v>0</v>
      </c>
      <c r="G44" s="844">
        <v>0</v>
      </c>
      <c r="H44" s="844">
        <v>15</v>
      </c>
      <c r="I44" s="844">
        <v>3</v>
      </c>
      <c r="J44" s="844">
        <v>0</v>
      </c>
      <c r="K44" s="844">
        <v>0</v>
      </c>
      <c r="L44" s="844">
        <v>0</v>
      </c>
      <c r="M44" s="844">
        <v>0</v>
      </c>
      <c r="N44" s="844">
        <v>1</v>
      </c>
      <c r="O44" s="844">
        <v>0</v>
      </c>
      <c r="P44" s="844">
        <v>0</v>
      </c>
      <c r="Q44" s="844">
        <v>0</v>
      </c>
      <c r="R44" s="844">
        <v>0</v>
      </c>
      <c r="S44" s="844">
        <v>0</v>
      </c>
      <c r="T44" s="844">
        <v>0</v>
      </c>
      <c r="U44" s="844">
        <v>0</v>
      </c>
      <c r="V44" s="844">
        <v>0</v>
      </c>
      <c r="W44" s="844">
        <v>0</v>
      </c>
      <c r="X44" s="844">
        <v>0</v>
      </c>
      <c r="Y44" s="844">
        <v>0</v>
      </c>
      <c r="Z44" s="844">
        <v>0</v>
      </c>
      <c r="AA44" s="844">
        <v>0</v>
      </c>
      <c r="AB44" s="844">
        <v>0</v>
      </c>
      <c r="AC44" s="844">
        <v>0</v>
      </c>
      <c r="AD44" s="844">
        <v>0</v>
      </c>
      <c r="AE44" s="844">
        <v>0</v>
      </c>
      <c r="AF44" s="844">
        <v>0</v>
      </c>
      <c r="AG44" s="844">
        <v>0</v>
      </c>
      <c r="AH44" s="844">
        <v>0</v>
      </c>
      <c r="AI44" s="844">
        <v>0</v>
      </c>
      <c r="AJ44" s="844"/>
      <c r="AK44" s="844">
        <v>1</v>
      </c>
      <c r="AL44" s="844">
        <v>8</v>
      </c>
      <c r="AM44" s="844">
        <v>0</v>
      </c>
      <c r="AN44" s="844">
        <v>0</v>
      </c>
      <c r="AO44" s="844">
        <v>0</v>
      </c>
      <c r="AP44" s="844">
        <v>0</v>
      </c>
      <c r="AQ44" s="844">
        <v>0</v>
      </c>
      <c r="AR44" s="844">
        <v>0</v>
      </c>
      <c r="AS44" s="844">
        <v>0</v>
      </c>
      <c r="AT44" s="844">
        <v>9</v>
      </c>
      <c r="AU44" s="844">
        <v>14</v>
      </c>
      <c r="AV44" s="845">
        <f t="shared" si="4"/>
        <v>3806</v>
      </c>
      <c r="AW44" s="844">
        <v>0</v>
      </c>
      <c r="AX44" s="844">
        <v>0</v>
      </c>
      <c r="AY44" s="844">
        <v>10</v>
      </c>
      <c r="AZ44" s="844">
        <v>0</v>
      </c>
      <c r="BA44" s="844">
        <v>0</v>
      </c>
      <c r="BB44" s="844">
        <v>451</v>
      </c>
      <c r="BC44" s="844">
        <v>0</v>
      </c>
      <c r="BD44" s="844">
        <v>0</v>
      </c>
      <c r="BE44" s="844">
        <v>0</v>
      </c>
      <c r="BF44" s="844">
        <v>1</v>
      </c>
      <c r="BG44" s="844">
        <v>3</v>
      </c>
      <c r="BH44" s="844">
        <v>0</v>
      </c>
      <c r="BI44" s="845">
        <f t="shared" si="3"/>
        <v>4271</v>
      </c>
    </row>
    <row r="45" spans="1:61" s="841" customFormat="1" ht="16.149999999999999" customHeight="1" x14ac:dyDescent="0.2">
      <c r="A45" s="842" t="s">
        <v>1176</v>
      </c>
      <c r="B45" s="843" t="s">
        <v>1177</v>
      </c>
      <c r="C45" s="844">
        <v>2521</v>
      </c>
      <c r="D45" s="844">
        <v>0</v>
      </c>
      <c r="E45" s="844">
        <v>0</v>
      </c>
      <c r="F45" s="844">
        <v>0</v>
      </c>
      <c r="G45" s="844">
        <v>0</v>
      </c>
      <c r="H45" s="844">
        <v>0</v>
      </c>
      <c r="I45" s="844">
        <v>0</v>
      </c>
      <c r="J45" s="844">
        <v>0</v>
      </c>
      <c r="K45" s="844">
        <v>0</v>
      </c>
      <c r="L45" s="844">
        <v>0</v>
      </c>
      <c r="M45" s="844">
        <v>7</v>
      </c>
      <c r="N45" s="844">
        <v>0</v>
      </c>
      <c r="O45" s="844">
        <v>0</v>
      </c>
      <c r="P45" s="844">
        <v>0</v>
      </c>
      <c r="Q45" s="844">
        <v>0</v>
      </c>
      <c r="R45" s="844">
        <v>0</v>
      </c>
      <c r="S45" s="844">
        <v>4</v>
      </c>
      <c r="T45" s="844">
        <v>0</v>
      </c>
      <c r="U45" s="844">
        <v>0</v>
      </c>
      <c r="V45" s="844">
        <v>0</v>
      </c>
      <c r="W45" s="844">
        <v>0</v>
      </c>
      <c r="X45" s="844">
        <v>0</v>
      </c>
      <c r="Y45" s="844">
        <v>0</v>
      </c>
      <c r="Z45" s="844">
        <v>0</v>
      </c>
      <c r="AA45" s="844">
        <v>0</v>
      </c>
      <c r="AB45" s="844">
        <v>0</v>
      </c>
      <c r="AC45" s="844">
        <v>0</v>
      </c>
      <c r="AD45" s="844">
        <v>0</v>
      </c>
      <c r="AE45" s="844">
        <v>0</v>
      </c>
      <c r="AF45" s="844">
        <v>0</v>
      </c>
      <c r="AG45" s="844">
        <v>0</v>
      </c>
      <c r="AH45" s="844">
        <v>0</v>
      </c>
      <c r="AI45" s="844">
        <v>0</v>
      </c>
      <c r="AJ45" s="844"/>
      <c r="AK45" s="844">
        <v>0</v>
      </c>
      <c r="AL45" s="844">
        <v>0</v>
      </c>
      <c r="AM45" s="844">
        <v>0</v>
      </c>
      <c r="AN45" s="844">
        <v>0</v>
      </c>
      <c r="AO45" s="844">
        <v>0</v>
      </c>
      <c r="AP45" s="844">
        <v>0</v>
      </c>
      <c r="AQ45" s="844">
        <v>0</v>
      </c>
      <c r="AR45" s="844">
        <v>0</v>
      </c>
      <c r="AS45" s="844">
        <v>0</v>
      </c>
      <c r="AT45" s="844">
        <v>12</v>
      </c>
      <c r="AU45" s="844">
        <v>20</v>
      </c>
      <c r="AV45" s="845">
        <f t="shared" si="4"/>
        <v>2564</v>
      </c>
      <c r="AW45" s="844">
        <v>0</v>
      </c>
      <c r="AX45" s="844">
        <v>0</v>
      </c>
      <c r="AY45" s="844">
        <v>0</v>
      </c>
      <c r="AZ45" s="844">
        <v>0</v>
      </c>
      <c r="BA45" s="844">
        <v>0</v>
      </c>
      <c r="BB45" s="844">
        <v>0</v>
      </c>
      <c r="BC45" s="844">
        <v>0</v>
      </c>
      <c r="BD45" s="844">
        <v>0</v>
      </c>
      <c r="BE45" s="844">
        <v>0</v>
      </c>
      <c r="BF45" s="844">
        <v>7</v>
      </c>
      <c r="BG45" s="844">
        <v>0</v>
      </c>
      <c r="BH45" s="844">
        <v>4</v>
      </c>
      <c r="BI45" s="845">
        <f t="shared" si="3"/>
        <v>2575</v>
      </c>
    </row>
    <row r="46" spans="1:61" s="841" customFormat="1" ht="16.149999999999999" customHeight="1" x14ac:dyDescent="0.2">
      <c r="A46" s="846" t="s">
        <v>1178</v>
      </c>
      <c r="B46" s="847" t="s">
        <v>1179</v>
      </c>
      <c r="C46" s="848">
        <v>21230</v>
      </c>
      <c r="D46" s="848">
        <v>0</v>
      </c>
      <c r="E46" s="848">
        <v>0</v>
      </c>
      <c r="F46" s="848">
        <v>0</v>
      </c>
      <c r="G46" s="848">
        <v>0</v>
      </c>
      <c r="H46" s="848">
        <v>0</v>
      </c>
      <c r="I46" s="848">
        <v>0</v>
      </c>
      <c r="J46" s="848">
        <v>0</v>
      </c>
      <c r="K46" s="848">
        <v>0</v>
      </c>
      <c r="L46" s="848">
        <v>0</v>
      </c>
      <c r="M46" s="848">
        <v>0</v>
      </c>
      <c r="N46" s="848">
        <v>0</v>
      </c>
      <c r="O46" s="848">
        <v>0</v>
      </c>
      <c r="P46" s="848">
        <v>0</v>
      </c>
      <c r="Q46" s="848">
        <v>0</v>
      </c>
      <c r="R46" s="848">
        <v>0</v>
      </c>
      <c r="S46" s="848">
        <v>0</v>
      </c>
      <c r="T46" s="848">
        <v>0</v>
      </c>
      <c r="U46" s="848">
        <v>0</v>
      </c>
      <c r="V46" s="848">
        <v>0</v>
      </c>
      <c r="W46" s="848">
        <v>0</v>
      </c>
      <c r="X46" s="848">
        <v>0</v>
      </c>
      <c r="Y46" s="848">
        <v>0</v>
      </c>
      <c r="Z46" s="848">
        <v>0</v>
      </c>
      <c r="AA46" s="848">
        <v>0</v>
      </c>
      <c r="AB46" s="848">
        <v>0</v>
      </c>
      <c r="AC46" s="848">
        <v>0</v>
      </c>
      <c r="AD46" s="848">
        <v>0</v>
      </c>
      <c r="AE46" s="848">
        <v>0</v>
      </c>
      <c r="AF46" s="848">
        <v>0</v>
      </c>
      <c r="AG46" s="848">
        <v>0</v>
      </c>
      <c r="AH46" s="848">
        <v>0</v>
      </c>
      <c r="AI46" s="848">
        <v>0</v>
      </c>
      <c r="AJ46" s="848"/>
      <c r="AK46" s="848">
        <v>0</v>
      </c>
      <c r="AL46" s="848">
        <v>0</v>
      </c>
      <c r="AM46" s="848">
        <v>0</v>
      </c>
      <c r="AN46" s="848">
        <v>0</v>
      </c>
      <c r="AO46" s="848">
        <v>0</v>
      </c>
      <c r="AP46" s="848">
        <v>0</v>
      </c>
      <c r="AQ46" s="848">
        <v>0</v>
      </c>
      <c r="AR46" s="848">
        <v>0</v>
      </c>
      <c r="AS46" s="848">
        <v>0</v>
      </c>
      <c r="AT46" s="848">
        <v>49</v>
      </c>
      <c r="AU46" s="848">
        <v>72</v>
      </c>
      <c r="AV46" s="849">
        <f t="shared" si="4"/>
        <v>21351</v>
      </c>
      <c r="AW46" s="848">
        <v>0</v>
      </c>
      <c r="AX46" s="848">
        <v>0</v>
      </c>
      <c r="AY46" s="848">
        <v>0</v>
      </c>
      <c r="AZ46" s="848">
        <v>0</v>
      </c>
      <c r="BA46" s="848">
        <v>3</v>
      </c>
      <c r="BB46" s="848">
        <v>0</v>
      </c>
      <c r="BC46" s="848">
        <v>0</v>
      </c>
      <c r="BD46" s="848">
        <v>0</v>
      </c>
      <c r="BE46" s="848">
        <v>0</v>
      </c>
      <c r="BF46" s="848">
        <v>18</v>
      </c>
      <c r="BG46" s="848">
        <v>0</v>
      </c>
      <c r="BH46" s="848">
        <v>0</v>
      </c>
      <c r="BI46" s="849">
        <f t="shared" si="3"/>
        <v>21372</v>
      </c>
    </row>
    <row r="47" spans="1:61" s="841" customFormat="1" ht="16.149999999999999" customHeight="1" x14ac:dyDescent="0.2">
      <c r="A47" s="837" t="s">
        <v>1180</v>
      </c>
      <c r="B47" s="838" t="s">
        <v>1181</v>
      </c>
      <c r="C47" s="839">
        <v>1242</v>
      </c>
      <c r="D47" s="839">
        <v>0</v>
      </c>
      <c r="E47" s="839">
        <v>0</v>
      </c>
      <c r="F47" s="839">
        <v>0</v>
      </c>
      <c r="G47" s="839">
        <v>0</v>
      </c>
      <c r="H47" s="839">
        <v>0</v>
      </c>
      <c r="I47" s="839">
        <v>0</v>
      </c>
      <c r="J47" s="839">
        <v>0</v>
      </c>
      <c r="K47" s="839">
        <v>0</v>
      </c>
      <c r="L47" s="839">
        <v>0</v>
      </c>
      <c r="M47" s="839">
        <v>0</v>
      </c>
      <c r="N47" s="839">
        <v>0</v>
      </c>
      <c r="O47" s="839">
        <v>0</v>
      </c>
      <c r="P47" s="839">
        <v>0</v>
      </c>
      <c r="Q47" s="839">
        <v>0</v>
      </c>
      <c r="R47" s="839">
        <v>0</v>
      </c>
      <c r="S47" s="839">
        <v>0</v>
      </c>
      <c r="T47" s="839">
        <v>0</v>
      </c>
      <c r="U47" s="839">
        <v>0</v>
      </c>
      <c r="V47" s="839">
        <v>0</v>
      </c>
      <c r="W47" s="839">
        <v>0</v>
      </c>
      <c r="X47" s="839">
        <v>0</v>
      </c>
      <c r="Y47" s="839">
        <v>0</v>
      </c>
      <c r="Z47" s="839">
        <v>0</v>
      </c>
      <c r="AA47" s="839">
        <v>0</v>
      </c>
      <c r="AB47" s="839">
        <v>0</v>
      </c>
      <c r="AC47" s="839">
        <v>0</v>
      </c>
      <c r="AD47" s="839">
        <v>0</v>
      </c>
      <c r="AE47" s="839">
        <v>0</v>
      </c>
      <c r="AF47" s="839">
        <v>0</v>
      </c>
      <c r="AG47" s="839">
        <v>0</v>
      </c>
      <c r="AH47" s="839">
        <v>0</v>
      </c>
      <c r="AI47" s="839">
        <v>0</v>
      </c>
      <c r="AJ47" s="839"/>
      <c r="AK47" s="839">
        <v>0</v>
      </c>
      <c r="AL47" s="839">
        <v>0</v>
      </c>
      <c r="AM47" s="839">
        <v>0</v>
      </c>
      <c r="AN47" s="839">
        <v>0</v>
      </c>
      <c r="AO47" s="839">
        <v>0</v>
      </c>
      <c r="AP47" s="839">
        <v>0</v>
      </c>
      <c r="AQ47" s="839">
        <v>0</v>
      </c>
      <c r="AR47" s="839">
        <v>0</v>
      </c>
      <c r="AS47" s="839">
        <v>0</v>
      </c>
      <c r="AT47" s="839">
        <v>3</v>
      </c>
      <c r="AU47" s="839">
        <v>2</v>
      </c>
      <c r="AV47" s="840">
        <f t="shared" si="4"/>
        <v>1247</v>
      </c>
      <c r="AW47" s="839">
        <v>0</v>
      </c>
      <c r="AX47" s="839">
        <v>0</v>
      </c>
      <c r="AY47" s="839">
        <v>0</v>
      </c>
      <c r="AZ47" s="839">
        <v>0</v>
      </c>
      <c r="BA47" s="839">
        <v>0</v>
      </c>
      <c r="BB47" s="839">
        <v>0</v>
      </c>
      <c r="BC47" s="839">
        <v>0</v>
      </c>
      <c r="BD47" s="839">
        <v>0</v>
      </c>
      <c r="BE47" s="839">
        <v>0</v>
      </c>
      <c r="BF47" s="839">
        <v>0</v>
      </c>
      <c r="BG47" s="839">
        <v>0</v>
      </c>
      <c r="BH47" s="839">
        <v>0</v>
      </c>
      <c r="BI47" s="840">
        <f t="shared" si="3"/>
        <v>1247</v>
      </c>
    </row>
    <row r="48" spans="1:61" s="841" customFormat="1" ht="16.149999999999999" customHeight="1" x14ac:dyDescent="0.2">
      <c r="A48" s="842" t="s">
        <v>1182</v>
      </c>
      <c r="B48" s="843" t="s">
        <v>1183</v>
      </c>
      <c r="C48" s="844">
        <v>2672</v>
      </c>
      <c r="D48" s="844">
        <v>0</v>
      </c>
      <c r="E48" s="844">
        <v>0</v>
      </c>
      <c r="F48" s="844">
        <v>0</v>
      </c>
      <c r="G48" s="844">
        <v>0</v>
      </c>
      <c r="H48" s="844">
        <v>0</v>
      </c>
      <c r="I48" s="844">
        <v>0</v>
      </c>
      <c r="J48" s="844">
        <v>0</v>
      </c>
      <c r="K48" s="844">
        <v>0</v>
      </c>
      <c r="L48" s="844">
        <v>0</v>
      </c>
      <c r="M48" s="844">
        <v>0</v>
      </c>
      <c r="N48" s="844">
        <v>0</v>
      </c>
      <c r="O48" s="844">
        <v>0</v>
      </c>
      <c r="P48" s="844">
        <v>0</v>
      </c>
      <c r="Q48" s="844">
        <v>0</v>
      </c>
      <c r="R48" s="844">
        <v>0</v>
      </c>
      <c r="S48" s="844">
        <v>0</v>
      </c>
      <c r="T48" s="844">
        <v>0</v>
      </c>
      <c r="U48" s="844">
        <v>0</v>
      </c>
      <c r="V48" s="844">
        <v>0</v>
      </c>
      <c r="W48" s="844">
        <v>0</v>
      </c>
      <c r="X48" s="844">
        <v>0</v>
      </c>
      <c r="Y48" s="844">
        <v>0</v>
      </c>
      <c r="Z48" s="844">
        <v>0</v>
      </c>
      <c r="AA48" s="844">
        <v>0</v>
      </c>
      <c r="AB48" s="844">
        <v>0</v>
      </c>
      <c r="AC48" s="844">
        <v>0</v>
      </c>
      <c r="AD48" s="844">
        <v>0</v>
      </c>
      <c r="AE48" s="844">
        <v>0</v>
      </c>
      <c r="AF48" s="844">
        <v>0</v>
      </c>
      <c r="AG48" s="844">
        <v>0</v>
      </c>
      <c r="AH48" s="844">
        <v>0</v>
      </c>
      <c r="AI48" s="844">
        <v>0</v>
      </c>
      <c r="AJ48" s="844"/>
      <c r="AK48" s="844">
        <v>0</v>
      </c>
      <c r="AL48" s="844">
        <v>0</v>
      </c>
      <c r="AM48" s="844">
        <v>0</v>
      </c>
      <c r="AN48" s="844">
        <v>0</v>
      </c>
      <c r="AO48" s="844">
        <v>0</v>
      </c>
      <c r="AP48" s="844">
        <v>0</v>
      </c>
      <c r="AQ48" s="844">
        <v>0</v>
      </c>
      <c r="AR48" s="844">
        <v>0</v>
      </c>
      <c r="AS48" s="844">
        <v>0</v>
      </c>
      <c r="AT48" s="844">
        <v>6</v>
      </c>
      <c r="AU48" s="844">
        <v>17</v>
      </c>
      <c r="AV48" s="845">
        <f t="shared" si="4"/>
        <v>2695</v>
      </c>
      <c r="AW48" s="844">
        <v>3</v>
      </c>
      <c r="AX48" s="844">
        <v>0</v>
      </c>
      <c r="AY48" s="844">
        <v>0</v>
      </c>
      <c r="AZ48" s="844">
        <v>0</v>
      </c>
      <c r="BA48" s="844">
        <v>356</v>
      </c>
      <c r="BB48" s="844">
        <v>0</v>
      </c>
      <c r="BC48" s="844">
        <v>0</v>
      </c>
      <c r="BD48" s="844">
        <v>0</v>
      </c>
      <c r="BE48" s="844">
        <v>0</v>
      </c>
      <c r="BF48" s="844">
        <v>3</v>
      </c>
      <c r="BG48" s="844">
        <v>0</v>
      </c>
      <c r="BH48" s="844">
        <v>0</v>
      </c>
      <c r="BI48" s="845">
        <f t="shared" si="3"/>
        <v>3057</v>
      </c>
    </row>
    <row r="49" spans="1:61" s="841" customFormat="1" ht="16.149999999999999" customHeight="1" x14ac:dyDescent="0.2">
      <c r="A49" s="842" t="s">
        <v>1184</v>
      </c>
      <c r="B49" s="843" t="s">
        <v>1185</v>
      </c>
      <c r="C49" s="844">
        <v>3924</v>
      </c>
      <c r="D49" s="844">
        <v>0</v>
      </c>
      <c r="E49" s="844">
        <v>0</v>
      </c>
      <c r="F49" s="844">
        <v>0</v>
      </c>
      <c r="G49" s="844">
        <v>0</v>
      </c>
      <c r="H49" s="844">
        <v>0</v>
      </c>
      <c r="I49" s="844">
        <v>0</v>
      </c>
      <c r="J49" s="844">
        <v>0</v>
      </c>
      <c r="K49" s="844">
        <v>0</v>
      </c>
      <c r="L49" s="844">
        <v>0</v>
      </c>
      <c r="M49" s="844">
        <v>0</v>
      </c>
      <c r="N49" s="844">
        <v>0</v>
      </c>
      <c r="O49" s="844">
        <v>0</v>
      </c>
      <c r="P49" s="844">
        <v>1</v>
      </c>
      <c r="Q49" s="844">
        <v>0</v>
      </c>
      <c r="R49" s="844">
        <v>0</v>
      </c>
      <c r="S49" s="844">
        <v>0</v>
      </c>
      <c r="T49" s="844">
        <v>0</v>
      </c>
      <c r="U49" s="844">
        <v>0</v>
      </c>
      <c r="V49" s="844">
        <v>0</v>
      </c>
      <c r="W49" s="844">
        <v>0</v>
      </c>
      <c r="X49" s="844">
        <v>0</v>
      </c>
      <c r="Y49" s="844">
        <v>0</v>
      </c>
      <c r="Z49" s="844">
        <v>0</v>
      </c>
      <c r="AA49" s="844">
        <v>0</v>
      </c>
      <c r="AB49" s="844">
        <v>0</v>
      </c>
      <c r="AC49" s="844">
        <v>0</v>
      </c>
      <c r="AD49" s="844">
        <v>0</v>
      </c>
      <c r="AE49" s="844">
        <v>0</v>
      </c>
      <c r="AF49" s="844">
        <v>0</v>
      </c>
      <c r="AG49" s="844">
        <v>0</v>
      </c>
      <c r="AH49" s="844">
        <v>0</v>
      </c>
      <c r="AI49" s="844">
        <v>0</v>
      </c>
      <c r="AJ49" s="844"/>
      <c r="AK49" s="844">
        <v>0</v>
      </c>
      <c r="AL49" s="844">
        <v>0</v>
      </c>
      <c r="AM49" s="844">
        <v>0</v>
      </c>
      <c r="AN49" s="844">
        <v>0</v>
      </c>
      <c r="AO49" s="844">
        <v>0</v>
      </c>
      <c r="AP49" s="844">
        <v>0</v>
      </c>
      <c r="AQ49" s="844">
        <v>0</v>
      </c>
      <c r="AR49" s="844">
        <v>0</v>
      </c>
      <c r="AS49" s="844">
        <v>0</v>
      </c>
      <c r="AT49" s="844">
        <v>2</v>
      </c>
      <c r="AU49" s="844">
        <v>11</v>
      </c>
      <c r="AV49" s="845">
        <f t="shared" si="4"/>
        <v>3938</v>
      </c>
      <c r="AW49" s="844">
        <v>0</v>
      </c>
      <c r="AX49" s="844">
        <v>0</v>
      </c>
      <c r="AY49" s="844">
        <v>0</v>
      </c>
      <c r="AZ49" s="844">
        <v>0</v>
      </c>
      <c r="BA49" s="844">
        <v>0</v>
      </c>
      <c r="BB49" s="844">
        <v>0</v>
      </c>
      <c r="BC49" s="844">
        <v>0</v>
      </c>
      <c r="BD49" s="844">
        <v>0</v>
      </c>
      <c r="BE49" s="844">
        <v>0</v>
      </c>
      <c r="BF49" s="844">
        <v>10</v>
      </c>
      <c r="BG49" s="844">
        <v>0</v>
      </c>
      <c r="BH49" s="844">
        <v>0</v>
      </c>
      <c r="BI49" s="845">
        <f t="shared" si="3"/>
        <v>3948</v>
      </c>
    </row>
    <row r="50" spans="1:61" s="841" customFormat="1" ht="16.149999999999999" customHeight="1" x14ac:dyDescent="0.2">
      <c r="A50" s="842" t="s">
        <v>1186</v>
      </c>
      <c r="B50" s="843" t="s">
        <v>1187</v>
      </c>
      <c r="C50" s="844">
        <v>7543</v>
      </c>
      <c r="D50" s="844">
        <v>0</v>
      </c>
      <c r="E50" s="844">
        <v>0</v>
      </c>
      <c r="F50" s="844">
        <v>0</v>
      </c>
      <c r="G50" s="844">
        <v>4</v>
      </c>
      <c r="H50" s="844">
        <v>4</v>
      </c>
      <c r="I50" s="844">
        <v>6</v>
      </c>
      <c r="J50" s="844">
        <v>0</v>
      </c>
      <c r="K50" s="844">
        <v>0</v>
      </c>
      <c r="L50" s="844">
        <v>0</v>
      </c>
      <c r="M50" s="844">
        <v>0</v>
      </c>
      <c r="N50" s="844">
        <v>0</v>
      </c>
      <c r="O50" s="844">
        <v>0</v>
      </c>
      <c r="P50" s="844">
        <v>0</v>
      </c>
      <c r="Q50" s="844">
        <v>0</v>
      </c>
      <c r="R50" s="844">
        <v>0</v>
      </c>
      <c r="S50" s="844">
        <v>0</v>
      </c>
      <c r="T50" s="844">
        <v>0</v>
      </c>
      <c r="U50" s="844">
        <v>0</v>
      </c>
      <c r="V50" s="844">
        <v>0</v>
      </c>
      <c r="W50" s="844">
        <v>2</v>
      </c>
      <c r="X50" s="844">
        <v>0</v>
      </c>
      <c r="Y50" s="844">
        <v>0</v>
      </c>
      <c r="Z50" s="844">
        <v>0</v>
      </c>
      <c r="AA50" s="844">
        <v>0</v>
      </c>
      <c r="AB50" s="844">
        <v>0</v>
      </c>
      <c r="AC50" s="844">
        <v>0</v>
      </c>
      <c r="AD50" s="844">
        <v>0</v>
      </c>
      <c r="AE50" s="844">
        <v>0</v>
      </c>
      <c r="AF50" s="844">
        <v>0</v>
      </c>
      <c r="AG50" s="844">
        <v>1</v>
      </c>
      <c r="AH50" s="844">
        <v>0</v>
      </c>
      <c r="AI50" s="844">
        <v>0</v>
      </c>
      <c r="AJ50" s="844"/>
      <c r="AK50" s="844">
        <v>0</v>
      </c>
      <c r="AL50" s="844">
        <v>5</v>
      </c>
      <c r="AM50" s="844">
        <v>0</v>
      </c>
      <c r="AN50" s="844">
        <v>0</v>
      </c>
      <c r="AO50" s="844">
        <v>0</v>
      </c>
      <c r="AP50" s="844">
        <v>0</v>
      </c>
      <c r="AQ50" s="844">
        <v>0</v>
      </c>
      <c r="AR50" s="844">
        <v>0</v>
      </c>
      <c r="AS50" s="844">
        <v>0</v>
      </c>
      <c r="AT50" s="844">
        <v>21</v>
      </c>
      <c r="AU50" s="844">
        <v>7</v>
      </c>
      <c r="AV50" s="845">
        <f t="shared" si="4"/>
        <v>7593</v>
      </c>
      <c r="AW50" s="844">
        <v>0</v>
      </c>
      <c r="AX50" s="844">
        <v>0</v>
      </c>
      <c r="AY50" s="844">
        <v>15</v>
      </c>
      <c r="AZ50" s="844">
        <v>0</v>
      </c>
      <c r="BA50" s="844">
        <v>0</v>
      </c>
      <c r="BB50" s="844">
        <v>0</v>
      </c>
      <c r="BC50" s="844">
        <v>0</v>
      </c>
      <c r="BD50" s="844">
        <v>0</v>
      </c>
      <c r="BE50" s="844">
        <v>0</v>
      </c>
      <c r="BF50" s="844">
        <v>3</v>
      </c>
      <c r="BG50" s="844">
        <v>11</v>
      </c>
      <c r="BH50" s="844">
        <v>1</v>
      </c>
      <c r="BI50" s="845">
        <f t="shared" si="3"/>
        <v>7623</v>
      </c>
    </row>
    <row r="51" spans="1:61" s="841" customFormat="1" ht="16.149999999999999" customHeight="1" x14ac:dyDescent="0.2">
      <c r="A51" s="846" t="s">
        <v>1188</v>
      </c>
      <c r="B51" s="847" t="s">
        <v>1189</v>
      </c>
      <c r="C51" s="848">
        <v>9295</v>
      </c>
      <c r="D51" s="848">
        <v>0</v>
      </c>
      <c r="E51" s="848">
        <v>0</v>
      </c>
      <c r="F51" s="848">
        <v>0</v>
      </c>
      <c r="G51" s="848">
        <v>0</v>
      </c>
      <c r="H51" s="848">
        <v>2</v>
      </c>
      <c r="I51" s="848">
        <v>6</v>
      </c>
      <c r="J51" s="848">
        <v>0</v>
      </c>
      <c r="K51" s="848">
        <v>0</v>
      </c>
      <c r="L51" s="848">
        <v>0</v>
      </c>
      <c r="M51" s="848">
        <v>0</v>
      </c>
      <c r="N51" s="848">
        <v>3</v>
      </c>
      <c r="O51" s="848">
        <v>0</v>
      </c>
      <c r="P51" s="848">
        <v>0</v>
      </c>
      <c r="Q51" s="848">
        <v>0</v>
      </c>
      <c r="R51" s="848">
        <v>0</v>
      </c>
      <c r="S51" s="848">
        <v>0</v>
      </c>
      <c r="T51" s="848">
        <v>4</v>
      </c>
      <c r="U51" s="848">
        <v>0</v>
      </c>
      <c r="V51" s="848">
        <v>0</v>
      </c>
      <c r="W51" s="848">
        <v>0</v>
      </c>
      <c r="X51" s="848">
        <v>0</v>
      </c>
      <c r="Y51" s="848">
        <v>0</v>
      </c>
      <c r="Z51" s="848">
        <v>0</v>
      </c>
      <c r="AA51" s="848">
        <v>0</v>
      </c>
      <c r="AB51" s="848">
        <v>0</v>
      </c>
      <c r="AC51" s="848">
        <v>0</v>
      </c>
      <c r="AD51" s="848">
        <v>0</v>
      </c>
      <c r="AE51" s="848">
        <v>0</v>
      </c>
      <c r="AF51" s="848">
        <v>0</v>
      </c>
      <c r="AG51" s="848">
        <v>1</v>
      </c>
      <c r="AH51" s="848">
        <v>0</v>
      </c>
      <c r="AI51" s="848">
        <v>0</v>
      </c>
      <c r="AJ51" s="848"/>
      <c r="AK51" s="848">
        <v>0</v>
      </c>
      <c r="AL51" s="848">
        <v>0</v>
      </c>
      <c r="AM51" s="848">
        <v>0</v>
      </c>
      <c r="AN51" s="848">
        <v>0</v>
      </c>
      <c r="AO51" s="848">
        <v>0</v>
      </c>
      <c r="AP51" s="848">
        <v>0</v>
      </c>
      <c r="AQ51" s="848">
        <v>0</v>
      </c>
      <c r="AR51" s="848">
        <v>0</v>
      </c>
      <c r="AS51" s="848">
        <v>0</v>
      </c>
      <c r="AT51" s="848">
        <v>23</v>
      </c>
      <c r="AU51" s="848">
        <v>15</v>
      </c>
      <c r="AV51" s="849">
        <f t="shared" si="4"/>
        <v>9349</v>
      </c>
      <c r="AW51" s="848">
        <v>0</v>
      </c>
      <c r="AX51" s="848">
        <v>0</v>
      </c>
      <c r="AY51" s="848">
        <v>6</v>
      </c>
      <c r="AZ51" s="848">
        <v>0</v>
      </c>
      <c r="BA51" s="848">
        <v>0</v>
      </c>
      <c r="BB51" s="848">
        <v>3</v>
      </c>
      <c r="BC51" s="848">
        <v>1</v>
      </c>
      <c r="BD51" s="848">
        <v>0</v>
      </c>
      <c r="BE51" s="848">
        <v>0</v>
      </c>
      <c r="BF51" s="848">
        <v>4</v>
      </c>
      <c r="BG51" s="848">
        <v>5</v>
      </c>
      <c r="BH51" s="848">
        <v>0</v>
      </c>
      <c r="BI51" s="849">
        <f t="shared" si="3"/>
        <v>9368</v>
      </c>
    </row>
    <row r="52" spans="1:61" s="841" customFormat="1" ht="16.149999999999999" customHeight="1" x14ac:dyDescent="0.2">
      <c r="A52" s="837" t="s">
        <v>1190</v>
      </c>
      <c r="B52" s="838" t="s">
        <v>1191</v>
      </c>
      <c r="C52" s="839">
        <v>1153</v>
      </c>
      <c r="D52" s="839">
        <v>0</v>
      </c>
      <c r="E52" s="839">
        <v>0</v>
      </c>
      <c r="F52" s="839">
        <v>0</v>
      </c>
      <c r="G52" s="839">
        <v>0</v>
      </c>
      <c r="H52" s="839">
        <v>0</v>
      </c>
      <c r="I52" s="839">
        <v>0</v>
      </c>
      <c r="J52" s="839">
        <v>0</v>
      </c>
      <c r="K52" s="839">
        <v>0</v>
      </c>
      <c r="L52" s="839">
        <v>0</v>
      </c>
      <c r="M52" s="839">
        <v>0</v>
      </c>
      <c r="N52" s="839">
        <v>0</v>
      </c>
      <c r="O52" s="839">
        <v>0</v>
      </c>
      <c r="P52" s="839">
        <v>0</v>
      </c>
      <c r="Q52" s="839">
        <v>0</v>
      </c>
      <c r="R52" s="839">
        <v>0</v>
      </c>
      <c r="S52" s="839">
        <v>1</v>
      </c>
      <c r="T52" s="839">
        <v>0</v>
      </c>
      <c r="U52" s="839">
        <v>0</v>
      </c>
      <c r="V52" s="839">
        <v>0</v>
      </c>
      <c r="W52" s="839">
        <v>0</v>
      </c>
      <c r="X52" s="839">
        <v>0</v>
      </c>
      <c r="Y52" s="839">
        <v>0</v>
      </c>
      <c r="Z52" s="839">
        <v>0</v>
      </c>
      <c r="AA52" s="839">
        <v>0</v>
      </c>
      <c r="AB52" s="839">
        <v>0</v>
      </c>
      <c r="AC52" s="839">
        <v>0</v>
      </c>
      <c r="AD52" s="839">
        <v>0</v>
      </c>
      <c r="AE52" s="839">
        <v>0</v>
      </c>
      <c r="AF52" s="839">
        <v>0</v>
      </c>
      <c r="AG52" s="839">
        <v>0</v>
      </c>
      <c r="AH52" s="839">
        <v>0</v>
      </c>
      <c r="AI52" s="839">
        <v>0</v>
      </c>
      <c r="AJ52" s="839"/>
      <c r="AK52" s="839">
        <v>0</v>
      </c>
      <c r="AL52" s="839">
        <v>0</v>
      </c>
      <c r="AM52" s="839">
        <v>0</v>
      </c>
      <c r="AN52" s="839">
        <v>0</v>
      </c>
      <c r="AO52" s="839">
        <v>0</v>
      </c>
      <c r="AP52" s="839">
        <v>0</v>
      </c>
      <c r="AQ52" s="839">
        <v>0</v>
      </c>
      <c r="AR52" s="839">
        <v>0</v>
      </c>
      <c r="AS52" s="839">
        <v>0</v>
      </c>
      <c r="AT52" s="839">
        <v>4</v>
      </c>
      <c r="AU52" s="839">
        <v>10</v>
      </c>
      <c r="AV52" s="840">
        <f t="shared" si="4"/>
        <v>1168</v>
      </c>
      <c r="AW52" s="839">
        <v>0</v>
      </c>
      <c r="AX52" s="839">
        <v>0</v>
      </c>
      <c r="AY52" s="839">
        <v>0</v>
      </c>
      <c r="AZ52" s="839">
        <v>0</v>
      </c>
      <c r="BA52" s="839">
        <v>0</v>
      </c>
      <c r="BB52" s="839">
        <v>0</v>
      </c>
      <c r="BC52" s="839">
        <v>0</v>
      </c>
      <c r="BD52" s="839">
        <v>0</v>
      </c>
      <c r="BE52" s="839">
        <v>0</v>
      </c>
      <c r="BF52" s="839">
        <v>1</v>
      </c>
      <c r="BG52" s="839">
        <v>0</v>
      </c>
      <c r="BH52" s="839">
        <v>0</v>
      </c>
      <c r="BI52" s="840">
        <f t="shared" si="3"/>
        <v>1169</v>
      </c>
    </row>
    <row r="53" spans="1:61" s="841" customFormat="1" ht="16.149999999999999" customHeight="1" x14ac:dyDescent="0.2">
      <c r="A53" s="842" t="s">
        <v>1192</v>
      </c>
      <c r="B53" s="843" t="s">
        <v>1193</v>
      </c>
      <c r="C53" s="844">
        <v>3350</v>
      </c>
      <c r="D53" s="844">
        <v>0</v>
      </c>
      <c r="E53" s="844">
        <v>0</v>
      </c>
      <c r="F53" s="844">
        <v>0</v>
      </c>
      <c r="G53" s="844">
        <v>0</v>
      </c>
      <c r="H53" s="844">
        <v>0</v>
      </c>
      <c r="I53" s="844">
        <v>0</v>
      </c>
      <c r="J53" s="844">
        <v>0</v>
      </c>
      <c r="K53" s="844">
        <v>0</v>
      </c>
      <c r="L53" s="844">
        <v>0</v>
      </c>
      <c r="M53" s="844">
        <v>0</v>
      </c>
      <c r="N53" s="844">
        <v>0</v>
      </c>
      <c r="O53" s="844">
        <v>0</v>
      </c>
      <c r="P53" s="844">
        <v>0</v>
      </c>
      <c r="Q53" s="844">
        <v>0</v>
      </c>
      <c r="R53" s="844">
        <v>0</v>
      </c>
      <c r="S53" s="844">
        <v>0</v>
      </c>
      <c r="T53" s="844">
        <v>0</v>
      </c>
      <c r="U53" s="844">
        <v>0</v>
      </c>
      <c r="V53" s="844">
        <v>0</v>
      </c>
      <c r="W53" s="844">
        <v>0</v>
      </c>
      <c r="X53" s="844">
        <v>0</v>
      </c>
      <c r="Y53" s="844">
        <v>0</v>
      </c>
      <c r="Z53" s="844">
        <v>0</v>
      </c>
      <c r="AA53" s="844">
        <v>0</v>
      </c>
      <c r="AB53" s="844">
        <v>0</v>
      </c>
      <c r="AC53" s="844">
        <v>0</v>
      </c>
      <c r="AD53" s="844">
        <v>0</v>
      </c>
      <c r="AE53" s="844">
        <v>0</v>
      </c>
      <c r="AF53" s="844">
        <v>0</v>
      </c>
      <c r="AG53" s="844">
        <v>0</v>
      </c>
      <c r="AH53" s="844">
        <v>0</v>
      </c>
      <c r="AI53" s="844">
        <v>0</v>
      </c>
      <c r="AJ53" s="844"/>
      <c r="AK53" s="844">
        <v>0</v>
      </c>
      <c r="AL53" s="844">
        <v>0</v>
      </c>
      <c r="AM53" s="844">
        <v>0</v>
      </c>
      <c r="AN53" s="844">
        <v>0</v>
      </c>
      <c r="AO53" s="844">
        <v>0</v>
      </c>
      <c r="AP53" s="844">
        <v>0</v>
      </c>
      <c r="AQ53" s="844">
        <v>0</v>
      </c>
      <c r="AR53" s="844">
        <v>0</v>
      </c>
      <c r="AS53" s="844">
        <v>0</v>
      </c>
      <c r="AT53" s="844">
        <v>4</v>
      </c>
      <c r="AU53" s="844">
        <v>7</v>
      </c>
      <c r="AV53" s="845">
        <f t="shared" si="4"/>
        <v>3361</v>
      </c>
      <c r="AW53" s="844">
        <v>0</v>
      </c>
      <c r="AX53" s="844">
        <v>0</v>
      </c>
      <c r="AY53" s="844">
        <v>0</v>
      </c>
      <c r="AZ53" s="844">
        <v>0</v>
      </c>
      <c r="BA53" s="844">
        <v>0</v>
      </c>
      <c r="BB53" s="844">
        <v>0</v>
      </c>
      <c r="BC53" s="844">
        <v>0</v>
      </c>
      <c r="BD53" s="844">
        <v>0</v>
      </c>
      <c r="BE53" s="844">
        <v>0</v>
      </c>
      <c r="BF53" s="844">
        <v>1</v>
      </c>
      <c r="BG53" s="844">
        <v>2</v>
      </c>
      <c r="BH53" s="844">
        <v>0</v>
      </c>
      <c r="BI53" s="845">
        <f t="shared" si="3"/>
        <v>3364</v>
      </c>
    </row>
    <row r="54" spans="1:61" s="841" customFormat="1" ht="16.149999999999999" customHeight="1" x14ac:dyDescent="0.2">
      <c r="A54" s="842" t="s">
        <v>1194</v>
      </c>
      <c r="B54" s="843" t="s">
        <v>1195</v>
      </c>
      <c r="C54" s="844">
        <v>5456</v>
      </c>
      <c r="D54" s="844">
        <v>0</v>
      </c>
      <c r="E54" s="844">
        <v>0</v>
      </c>
      <c r="F54" s="844">
        <v>0</v>
      </c>
      <c r="G54" s="844">
        <v>1</v>
      </c>
      <c r="H54" s="844">
        <v>0</v>
      </c>
      <c r="I54" s="844">
        <v>2</v>
      </c>
      <c r="J54" s="844">
        <v>0</v>
      </c>
      <c r="K54" s="844">
        <v>0</v>
      </c>
      <c r="L54" s="844">
        <v>0</v>
      </c>
      <c r="M54" s="844">
        <v>0</v>
      </c>
      <c r="N54" s="844">
        <v>2</v>
      </c>
      <c r="O54" s="844">
        <v>0</v>
      </c>
      <c r="P54" s="844">
        <v>0</v>
      </c>
      <c r="Q54" s="844">
        <v>0</v>
      </c>
      <c r="R54" s="844">
        <v>0</v>
      </c>
      <c r="S54" s="844">
        <v>0</v>
      </c>
      <c r="T54" s="844">
        <v>2</v>
      </c>
      <c r="U54" s="844">
        <v>0</v>
      </c>
      <c r="V54" s="844">
        <v>0</v>
      </c>
      <c r="W54" s="844">
        <v>0</v>
      </c>
      <c r="X54" s="844">
        <v>0</v>
      </c>
      <c r="Y54" s="844">
        <v>0</v>
      </c>
      <c r="Z54" s="844">
        <v>0</v>
      </c>
      <c r="AA54" s="844">
        <v>0</v>
      </c>
      <c r="AB54" s="844">
        <v>0</v>
      </c>
      <c r="AC54" s="844">
        <v>0</v>
      </c>
      <c r="AD54" s="844">
        <v>0</v>
      </c>
      <c r="AE54" s="844">
        <v>0</v>
      </c>
      <c r="AF54" s="844">
        <v>0</v>
      </c>
      <c r="AG54" s="844">
        <v>1</v>
      </c>
      <c r="AH54" s="844">
        <v>0</v>
      </c>
      <c r="AI54" s="844">
        <v>0</v>
      </c>
      <c r="AJ54" s="844"/>
      <c r="AK54" s="844">
        <v>0</v>
      </c>
      <c r="AL54" s="844">
        <v>0</v>
      </c>
      <c r="AM54" s="844">
        <v>0</v>
      </c>
      <c r="AN54" s="844">
        <v>0</v>
      </c>
      <c r="AO54" s="844">
        <v>0</v>
      </c>
      <c r="AP54" s="844">
        <v>0</v>
      </c>
      <c r="AQ54" s="844">
        <v>0</v>
      </c>
      <c r="AR54" s="844">
        <v>0</v>
      </c>
      <c r="AS54" s="844">
        <v>0</v>
      </c>
      <c r="AT54" s="844">
        <v>20</v>
      </c>
      <c r="AU54" s="844">
        <v>51</v>
      </c>
      <c r="AV54" s="845">
        <f t="shared" si="4"/>
        <v>5535</v>
      </c>
      <c r="AW54" s="844">
        <v>0</v>
      </c>
      <c r="AX54" s="844">
        <v>0</v>
      </c>
      <c r="AY54" s="844">
        <v>5</v>
      </c>
      <c r="AZ54" s="844">
        <v>0</v>
      </c>
      <c r="BA54" s="844">
        <v>0</v>
      </c>
      <c r="BB54" s="844">
        <v>0</v>
      </c>
      <c r="BC54" s="844">
        <v>2</v>
      </c>
      <c r="BD54" s="844">
        <v>0</v>
      </c>
      <c r="BE54" s="844">
        <v>0</v>
      </c>
      <c r="BF54" s="844">
        <v>2</v>
      </c>
      <c r="BG54" s="844">
        <v>2</v>
      </c>
      <c r="BH54" s="844">
        <v>0</v>
      </c>
      <c r="BI54" s="845">
        <f t="shared" si="3"/>
        <v>5546</v>
      </c>
    </row>
    <row r="55" spans="1:61" s="841" customFormat="1" ht="16.149999999999999" customHeight="1" x14ac:dyDescent="0.2">
      <c r="A55" s="842" t="s">
        <v>1196</v>
      </c>
      <c r="B55" s="843" t="s">
        <v>1197</v>
      </c>
      <c r="C55" s="844">
        <v>12213</v>
      </c>
      <c r="D55" s="844">
        <v>0</v>
      </c>
      <c r="E55" s="844">
        <v>0</v>
      </c>
      <c r="F55" s="844">
        <v>0</v>
      </c>
      <c r="G55" s="844">
        <v>0</v>
      </c>
      <c r="H55" s="844">
        <v>0</v>
      </c>
      <c r="I55" s="844">
        <v>0</v>
      </c>
      <c r="J55" s="844">
        <v>0</v>
      </c>
      <c r="K55" s="844">
        <v>248</v>
      </c>
      <c r="L55" s="844">
        <v>0</v>
      </c>
      <c r="M55" s="844">
        <v>1</v>
      </c>
      <c r="N55" s="844">
        <v>0</v>
      </c>
      <c r="O55" s="844">
        <v>0</v>
      </c>
      <c r="P55" s="844">
        <v>0</v>
      </c>
      <c r="Q55" s="844">
        <v>0</v>
      </c>
      <c r="R55" s="844">
        <v>0</v>
      </c>
      <c r="S55" s="844">
        <v>0</v>
      </c>
      <c r="T55" s="844">
        <v>4</v>
      </c>
      <c r="U55" s="844">
        <v>0</v>
      </c>
      <c r="V55" s="844">
        <v>0</v>
      </c>
      <c r="W55" s="844">
        <v>8</v>
      </c>
      <c r="X55" s="844">
        <v>96</v>
      </c>
      <c r="Y55" s="844">
        <v>21</v>
      </c>
      <c r="Z55" s="844">
        <v>0</v>
      </c>
      <c r="AA55" s="844">
        <v>0</v>
      </c>
      <c r="AB55" s="844">
        <v>0</v>
      </c>
      <c r="AC55" s="844">
        <v>0</v>
      </c>
      <c r="AD55" s="844">
        <v>0</v>
      </c>
      <c r="AE55" s="844">
        <v>0</v>
      </c>
      <c r="AF55" s="844">
        <v>0</v>
      </c>
      <c r="AG55" s="844">
        <v>0</v>
      </c>
      <c r="AH55" s="844">
        <v>0</v>
      </c>
      <c r="AI55" s="844">
        <v>0</v>
      </c>
      <c r="AJ55" s="844"/>
      <c r="AK55" s="844">
        <v>0</v>
      </c>
      <c r="AL55" s="844">
        <v>0</v>
      </c>
      <c r="AM55" s="844">
        <v>0</v>
      </c>
      <c r="AN55" s="844">
        <v>0</v>
      </c>
      <c r="AO55" s="844">
        <v>0</v>
      </c>
      <c r="AP55" s="844">
        <v>0</v>
      </c>
      <c r="AQ55" s="844">
        <v>0</v>
      </c>
      <c r="AR55" s="844">
        <v>0</v>
      </c>
      <c r="AS55" s="844">
        <v>0</v>
      </c>
      <c r="AT55" s="844">
        <v>79</v>
      </c>
      <c r="AU55" s="844">
        <v>85</v>
      </c>
      <c r="AV55" s="845">
        <f t="shared" si="4"/>
        <v>12755</v>
      </c>
      <c r="AW55" s="844">
        <v>0</v>
      </c>
      <c r="AX55" s="844">
        <v>0</v>
      </c>
      <c r="AY55" s="844">
        <v>0</v>
      </c>
      <c r="AZ55" s="844">
        <v>4</v>
      </c>
      <c r="BA55" s="844">
        <v>0</v>
      </c>
      <c r="BB55" s="844">
        <v>0</v>
      </c>
      <c r="BC55" s="844">
        <v>0</v>
      </c>
      <c r="BD55" s="844">
        <v>0</v>
      </c>
      <c r="BE55" s="844">
        <v>0</v>
      </c>
      <c r="BF55" s="844">
        <v>8</v>
      </c>
      <c r="BG55" s="844">
        <v>0</v>
      </c>
      <c r="BH55" s="844">
        <v>0</v>
      </c>
      <c r="BI55" s="845">
        <f t="shared" si="3"/>
        <v>12767</v>
      </c>
    </row>
    <row r="56" spans="1:61" s="841" customFormat="1" ht="16.149999999999999" customHeight="1" x14ac:dyDescent="0.2">
      <c r="A56" s="846" t="s">
        <v>1198</v>
      </c>
      <c r="B56" s="847" t="s">
        <v>1199</v>
      </c>
      <c r="C56" s="848">
        <v>7096</v>
      </c>
      <c r="D56" s="848">
        <v>0</v>
      </c>
      <c r="E56" s="848">
        <v>0</v>
      </c>
      <c r="F56" s="848">
        <v>0</v>
      </c>
      <c r="G56" s="848">
        <v>0</v>
      </c>
      <c r="H56" s="848">
        <v>0</v>
      </c>
      <c r="I56" s="848">
        <v>0</v>
      </c>
      <c r="J56" s="848">
        <v>0</v>
      </c>
      <c r="K56" s="848">
        <v>0</v>
      </c>
      <c r="L56" s="848">
        <v>0</v>
      </c>
      <c r="M56" s="848">
        <v>0</v>
      </c>
      <c r="N56" s="848">
        <v>0</v>
      </c>
      <c r="O56" s="848">
        <v>0</v>
      </c>
      <c r="P56" s="848">
        <v>0</v>
      </c>
      <c r="Q56" s="848">
        <v>0</v>
      </c>
      <c r="R56" s="848">
        <v>0</v>
      </c>
      <c r="S56" s="848">
        <v>0</v>
      </c>
      <c r="T56" s="848">
        <v>40</v>
      </c>
      <c r="U56" s="848">
        <v>0</v>
      </c>
      <c r="V56" s="848">
        <v>0</v>
      </c>
      <c r="W56" s="848">
        <v>66</v>
      </c>
      <c r="X56" s="848">
        <v>44</v>
      </c>
      <c r="Y56" s="848">
        <v>25</v>
      </c>
      <c r="Z56" s="848">
        <v>0</v>
      </c>
      <c r="AA56" s="848">
        <v>0</v>
      </c>
      <c r="AB56" s="848">
        <v>0</v>
      </c>
      <c r="AC56" s="848">
        <v>0</v>
      </c>
      <c r="AD56" s="848">
        <v>0</v>
      </c>
      <c r="AE56" s="848">
        <v>0</v>
      </c>
      <c r="AF56" s="848">
        <v>0</v>
      </c>
      <c r="AG56" s="848">
        <v>0</v>
      </c>
      <c r="AH56" s="848">
        <v>3</v>
      </c>
      <c r="AI56" s="848">
        <v>0</v>
      </c>
      <c r="AJ56" s="848"/>
      <c r="AK56" s="848">
        <v>0</v>
      </c>
      <c r="AL56" s="848">
        <v>0</v>
      </c>
      <c r="AM56" s="848">
        <v>0</v>
      </c>
      <c r="AN56" s="848">
        <v>0</v>
      </c>
      <c r="AO56" s="848">
        <v>0</v>
      </c>
      <c r="AP56" s="848">
        <v>0</v>
      </c>
      <c r="AQ56" s="848">
        <v>0</v>
      </c>
      <c r="AR56" s="848">
        <v>0</v>
      </c>
      <c r="AS56" s="848">
        <v>0</v>
      </c>
      <c r="AT56" s="848">
        <v>24</v>
      </c>
      <c r="AU56" s="848">
        <v>18</v>
      </c>
      <c r="AV56" s="849">
        <f t="shared" si="4"/>
        <v>7316</v>
      </c>
      <c r="AW56" s="848">
        <v>0</v>
      </c>
      <c r="AX56" s="848">
        <v>0</v>
      </c>
      <c r="AY56" s="848">
        <v>0</v>
      </c>
      <c r="AZ56" s="848">
        <v>0</v>
      </c>
      <c r="BA56" s="848">
        <v>0</v>
      </c>
      <c r="BB56" s="848">
        <v>0</v>
      </c>
      <c r="BC56" s="848">
        <v>0</v>
      </c>
      <c r="BD56" s="848">
        <v>0</v>
      </c>
      <c r="BE56" s="848">
        <v>0</v>
      </c>
      <c r="BF56" s="848">
        <v>4</v>
      </c>
      <c r="BG56" s="848">
        <v>0</v>
      </c>
      <c r="BH56" s="848">
        <v>0</v>
      </c>
      <c r="BI56" s="849">
        <f t="shared" si="3"/>
        <v>7320</v>
      </c>
    </row>
    <row r="57" spans="1:61" s="841" customFormat="1" ht="16.149999999999999" customHeight="1" x14ac:dyDescent="0.2">
      <c r="A57" s="837" t="s">
        <v>1200</v>
      </c>
      <c r="B57" s="838" t="s">
        <v>1201</v>
      </c>
      <c r="C57" s="839">
        <v>7691</v>
      </c>
      <c r="D57" s="839">
        <v>0</v>
      </c>
      <c r="E57" s="839">
        <v>0</v>
      </c>
      <c r="F57" s="839">
        <v>0</v>
      </c>
      <c r="G57" s="839">
        <v>0</v>
      </c>
      <c r="H57" s="839">
        <v>0</v>
      </c>
      <c r="I57" s="839">
        <v>0</v>
      </c>
      <c r="J57" s="839">
        <v>0</v>
      </c>
      <c r="K57" s="839">
        <v>0</v>
      </c>
      <c r="L57" s="839">
        <v>0</v>
      </c>
      <c r="M57" s="839">
        <v>0</v>
      </c>
      <c r="N57" s="839">
        <v>0</v>
      </c>
      <c r="O57" s="839">
        <v>0</v>
      </c>
      <c r="P57" s="839">
        <v>0</v>
      </c>
      <c r="Q57" s="839">
        <v>0</v>
      </c>
      <c r="R57" s="839">
        <v>0</v>
      </c>
      <c r="S57" s="839">
        <v>0</v>
      </c>
      <c r="T57" s="839">
        <v>10</v>
      </c>
      <c r="U57" s="839">
        <v>0</v>
      </c>
      <c r="V57" s="839">
        <v>0</v>
      </c>
      <c r="W57" s="839">
        <v>1</v>
      </c>
      <c r="X57" s="839">
        <v>0</v>
      </c>
      <c r="Y57" s="839">
        <v>1</v>
      </c>
      <c r="Z57" s="839">
        <v>0</v>
      </c>
      <c r="AA57" s="839">
        <v>0</v>
      </c>
      <c r="AB57" s="839">
        <v>0</v>
      </c>
      <c r="AC57" s="839">
        <v>0</v>
      </c>
      <c r="AD57" s="839">
        <v>0</v>
      </c>
      <c r="AE57" s="839">
        <v>0</v>
      </c>
      <c r="AF57" s="839">
        <v>0</v>
      </c>
      <c r="AG57" s="839">
        <v>0</v>
      </c>
      <c r="AH57" s="839">
        <v>0</v>
      </c>
      <c r="AI57" s="839">
        <v>0</v>
      </c>
      <c r="AJ57" s="839"/>
      <c r="AK57" s="839">
        <v>0</v>
      </c>
      <c r="AL57" s="839">
        <v>0</v>
      </c>
      <c r="AM57" s="839">
        <v>0</v>
      </c>
      <c r="AN57" s="839">
        <v>0</v>
      </c>
      <c r="AO57" s="839">
        <v>0</v>
      </c>
      <c r="AP57" s="839">
        <v>0</v>
      </c>
      <c r="AQ57" s="839">
        <v>0</v>
      </c>
      <c r="AR57" s="839">
        <v>0</v>
      </c>
      <c r="AS57" s="839">
        <v>0</v>
      </c>
      <c r="AT57" s="839">
        <v>13</v>
      </c>
      <c r="AU57" s="839">
        <v>22</v>
      </c>
      <c r="AV57" s="840">
        <f t="shared" si="4"/>
        <v>7738</v>
      </c>
      <c r="AW57" s="839">
        <v>0</v>
      </c>
      <c r="AX57" s="839">
        <v>276</v>
      </c>
      <c r="AY57" s="839">
        <v>0</v>
      </c>
      <c r="AZ57" s="839">
        <v>0</v>
      </c>
      <c r="BA57" s="839">
        <v>0</v>
      </c>
      <c r="BB57" s="839">
        <v>0</v>
      </c>
      <c r="BC57" s="839">
        <v>1</v>
      </c>
      <c r="BD57" s="839">
        <v>0</v>
      </c>
      <c r="BE57" s="839">
        <v>0</v>
      </c>
      <c r="BF57" s="839">
        <v>3</v>
      </c>
      <c r="BG57" s="839">
        <v>0</v>
      </c>
      <c r="BH57" s="839">
        <v>0</v>
      </c>
      <c r="BI57" s="840">
        <f t="shared" si="3"/>
        <v>8018</v>
      </c>
    </row>
    <row r="58" spans="1:61" s="841" customFormat="1" ht="16.149999999999999" customHeight="1" x14ac:dyDescent="0.2">
      <c r="A58" s="842" t="s">
        <v>1202</v>
      </c>
      <c r="B58" s="843" t="s">
        <v>1203</v>
      </c>
      <c r="C58" s="844">
        <v>36572</v>
      </c>
      <c r="D58" s="844">
        <v>0</v>
      </c>
      <c r="E58" s="844">
        <v>0</v>
      </c>
      <c r="F58" s="844">
        <v>0</v>
      </c>
      <c r="G58" s="844">
        <v>0</v>
      </c>
      <c r="H58" s="844">
        <v>4</v>
      </c>
      <c r="I58" s="844">
        <v>13</v>
      </c>
      <c r="J58" s="844">
        <v>0</v>
      </c>
      <c r="K58" s="844">
        <v>0</v>
      </c>
      <c r="L58" s="844">
        <v>0</v>
      </c>
      <c r="M58" s="844">
        <v>3</v>
      </c>
      <c r="N58" s="844">
        <v>0</v>
      </c>
      <c r="O58" s="844">
        <v>0</v>
      </c>
      <c r="P58" s="844">
        <v>0</v>
      </c>
      <c r="Q58" s="844">
        <v>0</v>
      </c>
      <c r="R58" s="844">
        <v>0</v>
      </c>
      <c r="S58" s="844">
        <v>0</v>
      </c>
      <c r="T58" s="844">
        <v>2</v>
      </c>
      <c r="U58" s="844">
        <v>0</v>
      </c>
      <c r="V58" s="844">
        <v>0</v>
      </c>
      <c r="W58" s="844">
        <v>1</v>
      </c>
      <c r="X58" s="844">
        <v>0</v>
      </c>
      <c r="Y58" s="844">
        <v>0</v>
      </c>
      <c r="Z58" s="844">
        <v>0</v>
      </c>
      <c r="AA58" s="844">
        <v>0</v>
      </c>
      <c r="AB58" s="844">
        <v>0</v>
      </c>
      <c r="AC58" s="844">
        <v>0</v>
      </c>
      <c r="AD58" s="844">
        <v>0</v>
      </c>
      <c r="AE58" s="844">
        <v>0</v>
      </c>
      <c r="AF58" s="844">
        <v>0</v>
      </c>
      <c r="AG58" s="844">
        <v>0</v>
      </c>
      <c r="AH58" s="844">
        <v>0</v>
      </c>
      <c r="AI58" s="844">
        <v>0</v>
      </c>
      <c r="AJ58" s="844"/>
      <c r="AK58" s="844">
        <v>1</v>
      </c>
      <c r="AL58" s="844">
        <v>2</v>
      </c>
      <c r="AM58" s="844">
        <v>0</v>
      </c>
      <c r="AN58" s="844">
        <v>0</v>
      </c>
      <c r="AO58" s="844">
        <v>0</v>
      </c>
      <c r="AP58" s="844">
        <v>0</v>
      </c>
      <c r="AQ58" s="844">
        <v>0</v>
      </c>
      <c r="AR58" s="844">
        <v>0</v>
      </c>
      <c r="AS58" s="844">
        <v>0</v>
      </c>
      <c r="AT58" s="844">
        <v>128</v>
      </c>
      <c r="AU58" s="844">
        <v>359</v>
      </c>
      <c r="AV58" s="845">
        <f t="shared" si="4"/>
        <v>37085</v>
      </c>
      <c r="AW58" s="844">
        <v>0</v>
      </c>
      <c r="AX58" s="844">
        <v>0</v>
      </c>
      <c r="AY58" s="844">
        <v>5</v>
      </c>
      <c r="AZ58" s="844">
        <v>0</v>
      </c>
      <c r="BA58" s="844">
        <v>0</v>
      </c>
      <c r="BB58" s="844">
        <v>17</v>
      </c>
      <c r="BC58" s="844">
        <v>0</v>
      </c>
      <c r="BD58" s="844">
        <v>0</v>
      </c>
      <c r="BE58" s="844">
        <v>0</v>
      </c>
      <c r="BF58" s="844">
        <v>31</v>
      </c>
      <c r="BG58" s="844">
        <v>38</v>
      </c>
      <c r="BH58" s="844">
        <v>2</v>
      </c>
      <c r="BI58" s="845">
        <f t="shared" si="3"/>
        <v>37178</v>
      </c>
    </row>
    <row r="59" spans="1:61" s="841" customFormat="1" ht="16.149999999999999" customHeight="1" x14ac:dyDescent="0.2">
      <c r="A59" s="842" t="s">
        <v>1204</v>
      </c>
      <c r="B59" s="843" t="s">
        <v>1205</v>
      </c>
      <c r="C59" s="844">
        <v>18774</v>
      </c>
      <c r="D59" s="844">
        <v>0</v>
      </c>
      <c r="E59" s="844">
        <v>1</v>
      </c>
      <c r="F59" s="844">
        <v>0</v>
      </c>
      <c r="G59" s="844">
        <v>0</v>
      </c>
      <c r="H59" s="844">
        <v>1</v>
      </c>
      <c r="I59" s="844">
        <v>1</v>
      </c>
      <c r="J59" s="844">
        <v>0</v>
      </c>
      <c r="K59" s="844">
        <v>0</v>
      </c>
      <c r="L59" s="844">
        <v>0</v>
      </c>
      <c r="M59" s="844">
        <v>5</v>
      </c>
      <c r="N59" s="844">
        <v>1</v>
      </c>
      <c r="O59" s="844">
        <v>0</v>
      </c>
      <c r="P59" s="844">
        <v>0</v>
      </c>
      <c r="Q59" s="844">
        <v>0</v>
      </c>
      <c r="R59" s="844">
        <v>0</v>
      </c>
      <c r="S59" s="844">
        <v>0</v>
      </c>
      <c r="T59" s="844">
        <v>2</v>
      </c>
      <c r="U59" s="844">
        <v>0</v>
      </c>
      <c r="V59" s="844">
        <v>0</v>
      </c>
      <c r="W59" s="844">
        <v>0</v>
      </c>
      <c r="X59" s="844">
        <v>0</v>
      </c>
      <c r="Y59" s="844">
        <v>0</v>
      </c>
      <c r="Z59" s="844">
        <v>0</v>
      </c>
      <c r="AA59" s="844">
        <v>0</v>
      </c>
      <c r="AB59" s="844">
        <v>0</v>
      </c>
      <c r="AC59" s="844">
        <v>0</v>
      </c>
      <c r="AD59" s="844">
        <v>0</v>
      </c>
      <c r="AE59" s="844">
        <v>0</v>
      </c>
      <c r="AF59" s="844">
        <v>0</v>
      </c>
      <c r="AG59" s="844">
        <v>0</v>
      </c>
      <c r="AH59" s="844">
        <v>0</v>
      </c>
      <c r="AI59" s="844">
        <v>0</v>
      </c>
      <c r="AJ59" s="844"/>
      <c r="AK59" s="844">
        <v>0</v>
      </c>
      <c r="AL59" s="844">
        <v>0</v>
      </c>
      <c r="AM59" s="844">
        <v>0</v>
      </c>
      <c r="AN59" s="844">
        <v>0</v>
      </c>
      <c r="AO59" s="844">
        <v>0</v>
      </c>
      <c r="AP59" s="844">
        <v>0</v>
      </c>
      <c r="AQ59" s="844">
        <v>0</v>
      </c>
      <c r="AR59" s="844">
        <v>0</v>
      </c>
      <c r="AS59" s="844">
        <v>0</v>
      </c>
      <c r="AT59" s="844">
        <v>76</v>
      </c>
      <c r="AU59" s="844">
        <v>227</v>
      </c>
      <c r="AV59" s="845">
        <f t="shared" si="4"/>
        <v>19088</v>
      </c>
      <c r="AW59" s="844">
        <v>0</v>
      </c>
      <c r="AX59" s="844">
        <v>0</v>
      </c>
      <c r="AY59" s="844">
        <v>0</v>
      </c>
      <c r="AZ59" s="844">
        <v>0</v>
      </c>
      <c r="BA59" s="844">
        <v>0</v>
      </c>
      <c r="BB59" s="844">
        <v>0</v>
      </c>
      <c r="BC59" s="844">
        <v>0</v>
      </c>
      <c r="BD59" s="844">
        <v>0</v>
      </c>
      <c r="BE59" s="844">
        <v>0</v>
      </c>
      <c r="BF59" s="844">
        <v>13</v>
      </c>
      <c r="BG59" s="844">
        <v>8</v>
      </c>
      <c r="BH59" s="844">
        <v>3</v>
      </c>
      <c r="BI59" s="845">
        <f t="shared" si="3"/>
        <v>19112</v>
      </c>
    </row>
    <row r="60" spans="1:61" s="841" customFormat="1" ht="16.149999999999999" customHeight="1" x14ac:dyDescent="0.2">
      <c r="A60" s="842" t="s">
        <v>1206</v>
      </c>
      <c r="B60" s="843" t="s">
        <v>1207</v>
      </c>
      <c r="C60" s="844">
        <v>343</v>
      </c>
      <c r="D60" s="844">
        <v>0</v>
      </c>
      <c r="E60" s="844">
        <v>0</v>
      </c>
      <c r="F60" s="844">
        <v>0</v>
      </c>
      <c r="G60" s="844">
        <v>0</v>
      </c>
      <c r="H60" s="844">
        <v>0</v>
      </c>
      <c r="I60" s="844">
        <v>0</v>
      </c>
      <c r="J60" s="844">
        <v>0</v>
      </c>
      <c r="K60" s="844">
        <v>0</v>
      </c>
      <c r="L60" s="844">
        <v>0</v>
      </c>
      <c r="M60" s="844">
        <v>0</v>
      </c>
      <c r="N60" s="844">
        <v>0</v>
      </c>
      <c r="O60" s="844">
        <v>0</v>
      </c>
      <c r="P60" s="844">
        <v>52</v>
      </c>
      <c r="Q60" s="844">
        <v>0</v>
      </c>
      <c r="R60" s="844">
        <v>0</v>
      </c>
      <c r="S60" s="844">
        <v>0</v>
      </c>
      <c r="T60" s="844">
        <v>0</v>
      </c>
      <c r="U60" s="844">
        <v>0</v>
      </c>
      <c r="V60" s="844">
        <v>0</v>
      </c>
      <c r="W60" s="844">
        <v>0</v>
      </c>
      <c r="X60" s="844">
        <v>0</v>
      </c>
      <c r="Y60" s="844">
        <v>0</v>
      </c>
      <c r="Z60" s="844">
        <v>0</v>
      </c>
      <c r="AA60" s="844">
        <v>0</v>
      </c>
      <c r="AB60" s="844">
        <v>0</v>
      </c>
      <c r="AC60" s="844">
        <v>0</v>
      </c>
      <c r="AD60" s="844">
        <v>0</v>
      </c>
      <c r="AE60" s="844">
        <v>0</v>
      </c>
      <c r="AF60" s="844">
        <v>0</v>
      </c>
      <c r="AG60" s="844">
        <v>0</v>
      </c>
      <c r="AH60" s="844">
        <v>0</v>
      </c>
      <c r="AI60" s="844">
        <v>0</v>
      </c>
      <c r="AJ60" s="844"/>
      <c r="AK60" s="844">
        <v>0</v>
      </c>
      <c r="AL60" s="844">
        <v>0</v>
      </c>
      <c r="AM60" s="844">
        <v>0</v>
      </c>
      <c r="AN60" s="844">
        <v>0</v>
      </c>
      <c r="AO60" s="844">
        <v>0</v>
      </c>
      <c r="AP60" s="844">
        <v>0</v>
      </c>
      <c r="AQ60" s="844">
        <v>0</v>
      </c>
      <c r="AR60" s="844">
        <v>0</v>
      </c>
      <c r="AS60" s="844">
        <v>0</v>
      </c>
      <c r="AT60" s="844">
        <v>1</v>
      </c>
      <c r="AU60" s="844">
        <v>7</v>
      </c>
      <c r="AV60" s="845">
        <f t="shared" si="4"/>
        <v>403</v>
      </c>
      <c r="AW60" s="844">
        <v>0</v>
      </c>
      <c r="AX60" s="844">
        <v>0</v>
      </c>
      <c r="AY60" s="844">
        <v>0</v>
      </c>
      <c r="AZ60" s="844">
        <v>0</v>
      </c>
      <c r="BA60" s="844">
        <v>17</v>
      </c>
      <c r="BB60" s="844">
        <v>0</v>
      </c>
      <c r="BC60" s="844">
        <v>0</v>
      </c>
      <c r="BD60" s="844">
        <v>0</v>
      </c>
      <c r="BE60" s="844">
        <v>0</v>
      </c>
      <c r="BF60" s="844">
        <v>0</v>
      </c>
      <c r="BG60" s="844">
        <v>0</v>
      </c>
      <c r="BH60" s="844">
        <v>0</v>
      </c>
      <c r="BI60" s="845">
        <f t="shared" si="3"/>
        <v>420</v>
      </c>
    </row>
    <row r="61" spans="1:61" s="841" customFormat="1" ht="16.149999999999999" customHeight="1" x14ac:dyDescent="0.2">
      <c r="A61" s="846" t="s">
        <v>1208</v>
      </c>
      <c r="B61" s="847" t="s">
        <v>1209</v>
      </c>
      <c r="C61" s="848">
        <v>16091</v>
      </c>
      <c r="D61" s="848">
        <v>0</v>
      </c>
      <c r="E61" s="848">
        <v>0</v>
      </c>
      <c r="F61" s="848">
        <v>0</v>
      </c>
      <c r="G61" s="848">
        <v>1</v>
      </c>
      <c r="H61" s="848">
        <v>0</v>
      </c>
      <c r="I61" s="848">
        <v>0</v>
      </c>
      <c r="J61" s="848">
        <v>0</v>
      </c>
      <c r="K61" s="848">
        <v>0</v>
      </c>
      <c r="L61" s="848">
        <v>0</v>
      </c>
      <c r="M61" s="848">
        <v>0</v>
      </c>
      <c r="N61" s="848">
        <v>0</v>
      </c>
      <c r="O61" s="848">
        <v>0</v>
      </c>
      <c r="P61" s="848">
        <v>0</v>
      </c>
      <c r="Q61" s="848">
        <v>0</v>
      </c>
      <c r="R61" s="848">
        <v>0</v>
      </c>
      <c r="S61" s="848">
        <v>0</v>
      </c>
      <c r="T61" s="848">
        <v>80</v>
      </c>
      <c r="U61" s="848">
        <v>0</v>
      </c>
      <c r="V61" s="848">
        <v>0</v>
      </c>
      <c r="W61" s="848">
        <v>11</v>
      </c>
      <c r="X61" s="848">
        <v>0</v>
      </c>
      <c r="Y61" s="848">
        <v>0</v>
      </c>
      <c r="Z61" s="848">
        <v>0</v>
      </c>
      <c r="AA61" s="848">
        <v>0</v>
      </c>
      <c r="AB61" s="848">
        <v>0</v>
      </c>
      <c r="AC61" s="848">
        <v>0</v>
      </c>
      <c r="AD61" s="848">
        <v>0</v>
      </c>
      <c r="AE61" s="848">
        <v>0</v>
      </c>
      <c r="AF61" s="848">
        <v>0</v>
      </c>
      <c r="AG61" s="848">
        <v>0</v>
      </c>
      <c r="AH61" s="848">
        <v>0</v>
      </c>
      <c r="AI61" s="848">
        <v>0</v>
      </c>
      <c r="AJ61" s="848"/>
      <c r="AK61" s="848">
        <v>0</v>
      </c>
      <c r="AL61" s="848">
        <v>0</v>
      </c>
      <c r="AM61" s="848">
        <v>0</v>
      </c>
      <c r="AN61" s="848">
        <v>0</v>
      </c>
      <c r="AO61" s="848">
        <v>0</v>
      </c>
      <c r="AP61" s="848">
        <v>0</v>
      </c>
      <c r="AQ61" s="848">
        <v>0</v>
      </c>
      <c r="AR61" s="848">
        <v>0</v>
      </c>
      <c r="AS61" s="848">
        <v>0</v>
      </c>
      <c r="AT61" s="848">
        <v>78</v>
      </c>
      <c r="AU61" s="848">
        <v>128</v>
      </c>
      <c r="AV61" s="849">
        <f t="shared" si="4"/>
        <v>16389</v>
      </c>
      <c r="AW61" s="848">
        <v>0</v>
      </c>
      <c r="AX61" s="848">
        <v>0</v>
      </c>
      <c r="AY61" s="848">
        <v>0</v>
      </c>
      <c r="AZ61" s="848">
        <v>2</v>
      </c>
      <c r="BA61" s="848">
        <v>0</v>
      </c>
      <c r="BB61" s="848">
        <v>0</v>
      </c>
      <c r="BC61" s="848">
        <v>38</v>
      </c>
      <c r="BD61" s="848">
        <v>0</v>
      </c>
      <c r="BE61" s="848">
        <v>0</v>
      </c>
      <c r="BF61" s="848">
        <v>13</v>
      </c>
      <c r="BG61" s="848">
        <v>0</v>
      </c>
      <c r="BH61" s="848">
        <v>0</v>
      </c>
      <c r="BI61" s="849">
        <f t="shared" si="3"/>
        <v>16442</v>
      </c>
    </row>
    <row r="62" spans="1:61" s="841" customFormat="1" ht="16.149999999999999" customHeight="1" x14ac:dyDescent="0.2">
      <c r="A62" s="837" t="s">
        <v>1210</v>
      </c>
      <c r="B62" s="838" t="s">
        <v>1211</v>
      </c>
      <c r="C62" s="839">
        <v>1858</v>
      </c>
      <c r="D62" s="839">
        <v>0</v>
      </c>
      <c r="E62" s="839">
        <v>0</v>
      </c>
      <c r="F62" s="839">
        <v>872</v>
      </c>
      <c r="G62" s="839">
        <v>0</v>
      </c>
      <c r="H62" s="839">
        <v>0</v>
      </c>
      <c r="I62" s="839">
        <v>0</v>
      </c>
      <c r="J62" s="839">
        <v>0</v>
      </c>
      <c r="K62" s="839">
        <v>0</v>
      </c>
      <c r="L62" s="839">
        <v>0</v>
      </c>
      <c r="M62" s="839">
        <v>0</v>
      </c>
      <c r="N62" s="839">
        <v>0</v>
      </c>
      <c r="O62" s="839">
        <v>0</v>
      </c>
      <c r="P62" s="839">
        <v>0</v>
      </c>
      <c r="Q62" s="839">
        <v>0</v>
      </c>
      <c r="R62" s="839">
        <v>0</v>
      </c>
      <c r="S62" s="839">
        <v>0</v>
      </c>
      <c r="T62" s="839">
        <v>0</v>
      </c>
      <c r="U62" s="839">
        <v>0</v>
      </c>
      <c r="V62" s="839">
        <v>131</v>
      </c>
      <c r="W62" s="839">
        <v>0</v>
      </c>
      <c r="X62" s="839">
        <v>0</v>
      </c>
      <c r="Y62" s="839">
        <v>0</v>
      </c>
      <c r="Z62" s="839">
        <v>0</v>
      </c>
      <c r="AA62" s="839">
        <v>0</v>
      </c>
      <c r="AB62" s="839">
        <v>44</v>
      </c>
      <c r="AC62" s="839">
        <v>0</v>
      </c>
      <c r="AD62" s="839">
        <v>0</v>
      </c>
      <c r="AE62" s="839">
        <v>0</v>
      </c>
      <c r="AF62" s="839">
        <v>0</v>
      </c>
      <c r="AG62" s="839">
        <v>0</v>
      </c>
      <c r="AH62" s="839">
        <v>0</v>
      </c>
      <c r="AI62" s="839">
        <v>0</v>
      </c>
      <c r="AJ62" s="839"/>
      <c r="AK62" s="839">
        <v>0</v>
      </c>
      <c r="AL62" s="839">
        <v>0</v>
      </c>
      <c r="AM62" s="839">
        <v>0</v>
      </c>
      <c r="AN62" s="839">
        <v>0</v>
      </c>
      <c r="AO62" s="839">
        <v>0</v>
      </c>
      <c r="AP62" s="839">
        <v>0</v>
      </c>
      <c r="AQ62" s="839">
        <v>0</v>
      </c>
      <c r="AR62" s="839">
        <v>0</v>
      </c>
      <c r="AS62" s="839">
        <v>0</v>
      </c>
      <c r="AT62" s="839">
        <v>12</v>
      </c>
      <c r="AU62" s="839">
        <v>9</v>
      </c>
      <c r="AV62" s="840">
        <f t="shared" si="4"/>
        <v>2926</v>
      </c>
      <c r="AW62" s="839">
        <v>0</v>
      </c>
      <c r="AX62" s="839">
        <v>0</v>
      </c>
      <c r="AY62" s="839">
        <v>0</v>
      </c>
      <c r="AZ62" s="839">
        <v>0</v>
      </c>
      <c r="BA62" s="839">
        <v>0</v>
      </c>
      <c r="BB62" s="839">
        <v>0</v>
      </c>
      <c r="BC62" s="839">
        <v>0</v>
      </c>
      <c r="BD62" s="839">
        <v>0</v>
      </c>
      <c r="BE62" s="839">
        <v>0</v>
      </c>
      <c r="BF62" s="839">
        <v>0</v>
      </c>
      <c r="BG62" s="839">
        <v>0</v>
      </c>
      <c r="BH62" s="839">
        <v>0</v>
      </c>
      <c r="BI62" s="840">
        <f t="shared" si="3"/>
        <v>2926</v>
      </c>
    </row>
    <row r="63" spans="1:61" s="841" customFormat="1" ht="16.149999999999999" customHeight="1" x14ac:dyDescent="0.2">
      <c r="A63" s="842" t="s">
        <v>1212</v>
      </c>
      <c r="B63" s="843" t="s">
        <v>1213</v>
      </c>
      <c r="C63" s="844">
        <v>9213</v>
      </c>
      <c r="D63" s="844">
        <v>0</v>
      </c>
      <c r="E63" s="844">
        <v>0</v>
      </c>
      <c r="F63" s="844">
        <v>0</v>
      </c>
      <c r="G63" s="844">
        <v>0</v>
      </c>
      <c r="H63" s="844">
        <v>0</v>
      </c>
      <c r="I63" s="844">
        <v>0</v>
      </c>
      <c r="J63" s="844">
        <v>0</v>
      </c>
      <c r="K63" s="844">
        <v>0</v>
      </c>
      <c r="L63" s="844">
        <v>0</v>
      </c>
      <c r="M63" s="844">
        <v>0</v>
      </c>
      <c r="N63" s="844">
        <v>0</v>
      </c>
      <c r="O63" s="844">
        <v>0</v>
      </c>
      <c r="P63" s="844">
        <v>0</v>
      </c>
      <c r="Q63" s="844">
        <v>0</v>
      </c>
      <c r="R63" s="844">
        <v>0</v>
      </c>
      <c r="S63" s="844">
        <v>0</v>
      </c>
      <c r="T63" s="844">
        <v>0</v>
      </c>
      <c r="U63" s="844">
        <v>0</v>
      </c>
      <c r="V63" s="844">
        <v>0</v>
      </c>
      <c r="W63" s="844">
        <v>32</v>
      </c>
      <c r="X63" s="844">
        <v>2</v>
      </c>
      <c r="Y63" s="844">
        <v>0</v>
      </c>
      <c r="Z63" s="844">
        <v>0</v>
      </c>
      <c r="AA63" s="844">
        <v>0</v>
      </c>
      <c r="AB63" s="844">
        <v>0</v>
      </c>
      <c r="AC63" s="844">
        <v>0</v>
      </c>
      <c r="AD63" s="844">
        <v>0</v>
      </c>
      <c r="AE63" s="844">
        <v>0</v>
      </c>
      <c r="AF63" s="844">
        <v>0</v>
      </c>
      <c r="AG63" s="844">
        <v>0</v>
      </c>
      <c r="AH63" s="844">
        <v>1</v>
      </c>
      <c r="AI63" s="844">
        <v>0</v>
      </c>
      <c r="AJ63" s="844"/>
      <c r="AK63" s="844">
        <v>0</v>
      </c>
      <c r="AL63" s="844">
        <v>0</v>
      </c>
      <c r="AM63" s="844">
        <v>0</v>
      </c>
      <c r="AN63" s="844">
        <v>0</v>
      </c>
      <c r="AO63" s="844">
        <v>0</v>
      </c>
      <c r="AP63" s="844">
        <v>0</v>
      </c>
      <c r="AQ63" s="844">
        <v>0</v>
      </c>
      <c r="AR63" s="844">
        <v>0</v>
      </c>
      <c r="AS63" s="844">
        <v>0</v>
      </c>
      <c r="AT63" s="844">
        <v>23</v>
      </c>
      <c r="AU63" s="844">
        <v>14</v>
      </c>
      <c r="AV63" s="845">
        <f t="shared" si="4"/>
        <v>9285</v>
      </c>
      <c r="AW63" s="844">
        <v>0</v>
      </c>
      <c r="AX63" s="844">
        <v>0</v>
      </c>
      <c r="AY63" s="844">
        <v>0</v>
      </c>
      <c r="AZ63" s="844">
        <v>0</v>
      </c>
      <c r="BA63" s="844">
        <v>0</v>
      </c>
      <c r="BB63" s="844">
        <v>0</v>
      </c>
      <c r="BC63" s="844">
        <v>0</v>
      </c>
      <c r="BD63" s="844">
        <v>0</v>
      </c>
      <c r="BE63" s="844">
        <v>0</v>
      </c>
      <c r="BF63" s="844">
        <v>2</v>
      </c>
      <c r="BG63" s="844">
        <v>0</v>
      </c>
      <c r="BH63" s="844">
        <v>0</v>
      </c>
      <c r="BI63" s="845">
        <f t="shared" si="3"/>
        <v>9287</v>
      </c>
    </row>
    <row r="64" spans="1:61" s="841" customFormat="1" ht="16.149999999999999" customHeight="1" x14ac:dyDescent="0.2">
      <c r="A64" s="842" t="s">
        <v>1214</v>
      </c>
      <c r="B64" s="843" t="s">
        <v>1215</v>
      </c>
      <c r="C64" s="844">
        <v>7657</v>
      </c>
      <c r="D64" s="844">
        <v>0</v>
      </c>
      <c r="E64" s="844">
        <v>0</v>
      </c>
      <c r="F64" s="844">
        <v>0</v>
      </c>
      <c r="G64" s="844">
        <v>0</v>
      </c>
      <c r="H64" s="844">
        <v>0</v>
      </c>
      <c r="I64" s="844">
        <v>0</v>
      </c>
      <c r="J64" s="844">
        <v>0</v>
      </c>
      <c r="K64" s="844">
        <v>0</v>
      </c>
      <c r="L64" s="844">
        <v>0</v>
      </c>
      <c r="M64" s="844">
        <v>0</v>
      </c>
      <c r="N64" s="844">
        <v>0</v>
      </c>
      <c r="O64" s="844">
        <v>0</v>
      </c>
      <c r="P64" s="844">
        <v>0</v>
      </c>
      <c r="Q64" s="844">
        <v>0</v>
      </c>
      <c r="R64" s="844">
        <v>0</v>
      </c>
      <c r="S64" s="844">
        <v>0</v>
      </c>
      <c r="T64" s="844">
        <v>0</v>
      </c>
      <c r="U64" s="844">
        <v>0</v>
      </c>
      <c r="V64" s="844">
        <v>0</v>
      </c>
      <c r="W64" s="844">
        <v>0</v>
      </c>
      <c r="X64" s="844">
        <v>0</v>
      </c>
      <c r="Y64" s="844">
        <v>0</v>
      </c>
      <c r="Z64" s="844">
        <v>0</v>
      </c>
      <c r="AA64" s="844">
        <v>0</v>
      </c>
      <c r="AB64" s="844">
        <v>0</v>
      </c>
      <c r="AC64" s="844">
        <v>0</v>
      </c>
      <c r="AD64" s="844">
        <v>0</v>
      </c>
      <c r="AE64" s="844">
        <v>0</v>
      </c>
      <c r="AF64" s="844">
        <v>0</v>
      </c>
      <c r="AG64" s="844">
        <v>0</v>
      </c>
      <c r="AH64" s="844">
        <v>0</v>
      </c>
      <c r="AI64" s="844">
        <v>0</v>
      </c>
      <c r="AJ64" s="844"/>
      <c r="AK64" s="844">
        <v>0</v>
      </c>
      <c r="AL64" s="844">
        <v>0</v>
      </c>
      <c r="AM64" s="844">
        <v>0</v>
      </c>
      <c r="AN64" s="844">
        <v>0</v>
      </c>
      <c r="AO64" s="844">
        <v>0</v>
      </c>
      <c r="AP64" s="844">
        <v>0</v>
      </c>
      <c r="AQ64" s="844">
        <v>0</v>
      </c>
      <c r="AR64" s="844">
        <v>0</v>
      </c>
      <c r="AS64" s="844">
        <v>0</v>
      </c>
      <c r="AT64" s="844">
        <v>31</v>
      </c>
      <c r="AU64" s="844">
        <v>21</v>
      </c>
      <c r="AV64" s="845">
        <f t="shared" si="4"/>
        <v>7709</v>
      </c>
      <c r="AW64" s="844">
        <v>0</v>
      </c>
      <c r="AX64" s="844">
        <v>0</v>
      </c>
      <c r="AY64" s="844">
        <v>0</v>
      </c>
      <c r="AZ64" s="844">
        <v>0</v>
      </c>
      <c r="BA64" s="844">
        <v>0</v>
      </c>
      <c r="BB64" s="844">
        <v>0</v>
      </c>
      <c r="BC64" s="844">
        <v>0</v>
      </c>
      <c r="BD64" s="844">
        <v>0</v>
      </c>
      <c r="BE64" s="844">
        <v>0</v>
      </c>
      <c r="BF64" s="844">
        <v>6</v>
      </c>
      <c r="BG64" s="844">
        <v>0</v>
      </c>
      <c r="BH64" s="844">
        <v>0</v>
      </c>
      <c r="BI64" s="845">
        <f t="shared" si="3"/>
        <v>7715</v>
      </c>
    </row>
    <row r="65" spans="1:61" s="841" customFormat="1" ht="16.149999999999999" customHeight="1" x14ac:dyDescent="0.2">
      <c r="A65" s="842" t="s">
        <v>1216</v>
      </c>
      <c r="B65" s="843" t="s">
        <v>1217</v>
      </c>
      <c r="C65" s="844">
        <v>4758</v>
      </c>
      <c r="D65" s="844">
        <v>0</v>
      </c>
      <c r="E65" s="844">
        <v>0</v>
      </c>
      <c r="F65" s="844">
        <v>0</v>
      </c>
      <c r="G65" s="844">
        <v>0</v>
      </c>
      <c r="H65" s="844">
        <v>0</v>
      </c>
      <c r="I65" s="844">
        <v>0</v>
      </c>
      <c r="J65" s="844">
        <v>0</v>
      </c>
      <c r="K65" s="844">
        <v>0</v>
      </c>
      <c r="L65" s="844">
        <v>0</v>
      </c>
      <c r="M65" s="844">
        <v>0</v>
      </c>
      <c r="N65" s="844">
        <v>0</v>
      </c>
      <c r="O65" s="844">
        <v>0</v>
      </c>
      <c r="P65" s="844">
        <v>0</v>
      </c>
      <c r="Q65" s="844">
        <v>0</v>
      </c>
      <c r="R65" s="844">
        <v>0</v>
      </c>
      <c r="S65" s="844">
        <v>0</v>
      </c>
      <c r="T65" s="844">
        <v>0</v>
      </c>
      <c r="U65" s="844">
        <v>0</v>
      </c>
      <c r="V65" s="844">
        <v>0</v>
      </c>
      <c r="W65" s="844">
        <v>0</v>
      </c>
      <c r="X65" s="844">
        <v>0</v>
      </c>
      <c r="Y65" s="844">
        <v>0</v>
      </c>
      <c r="Z65" s="844">
        <v>0</v>
      </c>
      <c r="AA65" s="844">
        <v>0</v>
      </c>
      <c r="AB65" s="844">
        <v>0</v>
      </c>
      <c r="AC65" s="844">
        <v>0</v>
      </c>
      <c r="AD65" s="844">
        <v>0</v>
      </c>
      <c r="AE65" s="844">
        <v>0</v>
      </c>
      <c r="AF65" s="844">
        <v>0</v>
      </c>
      <c r="AG65" s="844">
        <v>0</v>
      </c>
      <c r="AH65" s="844">
        <v>0</v>
      </c>
      <c r="AI65" s="844">
        <v>0</v>
      </c>
      <c r="AJ65" s="844"/>
      <c r="AK65" s="844">
        <v>0</v>
      </c>
      <c r="AL65" s="844">
        <v>0</v>
      </c>
      <c r="AM65" s="844">
        <v>0</v>
      </c>
      <c r="AN65" s="844">
        <v>0</v>
      </c>
      <c r="AO65" s="844">
        <v>0</v>
      </c>
      <c r="AP65" s="844">
        <v>0</v>
      </c>
      <c r="AQ65" s="844">
        <v>0</v>
      </c>
      <c r="AR65" s="844">
        <v>0</v>
      </c>
      <c r="AS65" s="844">
        <v>0</v>
      </c>
      <c r="AT65" s="844">
        <v>20</v>
      </c>
      <c r="AU65" s="844">
        <v>42</v>
      </c>
      <c r="AV65" s="845">
        <f t="shared" si="4"/>
        <v>4820</v>
      </c>
      <c r="AW65" s="844">
        <v>0</v>
      </c>
      <c r="AX65" s="844">
        <v>0</v>
      </c>
      <c r="AY65" s="844">
        <v>0</v>
      </c>
      <c r="AZ65" s="844">
        <v>0</v>
      </c>
      <c r="BA65" s="844">
        <v>0</v>
      </c>
      <c r="BB65" s="844">
        <v>0</v>
      </c>
      <c r="BC65" s="844">
        <v>0</v>
      </c>
      <c r="BD65" s="844">
        <v>0</v>
      </c>
      <c r="BE65" s="844">
        <v>0</v>
      </c>
      <c r="BF65" s="844">
        <v>0</v>
      </c>
      <c r="BG65" s="844">
        <v>0</v>
      </c>
      <c r="BH65" s="844">
        <v>0</v>
      </c>
      <c r="BI65" s="845">
        <f t="shared" si="3"/>
        <v>4820</v>
      </c>
    </row>
    <row r="66" spans="1:61" s="841" customFormat="1" ht="16.149999999999999" customHeight="1" x14ac:dyDescent="0.2">
      <c r="A66" s="846" t="s">
        <v>1218</v>
      </c>
      <c r="B66" s="847" t="s">
        <v>1219</v>
      </c>
      <c r="C66" s="848">
        <v>5520</v>
      </c>
      <c r="D66" s="848">
        <v>0</v>
      </c>
      <c r="E66" s="848">
        <v>0</v>
      </c>
      <c r="F66" s="848">
        <v>0</v>
      </c>
      <c r="G66" s="848">
        <v>0</v>
      </c>
      <c r="H66" s="848">
        <v>0</v>
      </c>
      <c r="I66" s="848">
        <v>0</v>
      </c>
      <c r="J66" s="848">
        <v>0</v>
      </c>
      <c r="K66" s="848">
        <v>0</v>
      </c>
      <c r="L66" s="848">
        <v>0</v>
      </c>
      <c r="M66" s="848">
        <v>0</v>
      </c>
      <c r="N66" s="848">
        <v>0</v>
      </c>
      <c r="O66" s="848">
        <v>0</v>
      </c>
      <c r="P66" s="848">
        <v>0</v>
      </c>
      <c r="Q66" s="848">
        <v>0</v>
      </c>
      <c r="R66" s="848">
        <v>0</v>
      </c>
      <c r="S66" s="848">
        <v>0</v>
      </c>
      <c r="T66" s="848">
        <v>0</v>
      </c>
      <c r="U66" s="848">
        <v>0</v>
      </c>
      <c r="V66" s="848">
        <v>0</v>
      </c>
      <c r="W66" s="848">
        <v>0</v>
      </c>
      <c r="X66" s="848">
        <v>0</v>
      </c>
      <c r="Y66" s="848">
        <v>0</v>
      </c>
      <c r="Z66" s="848">
        <v>0</v>
      </c>
      <c r="AA66" s="848">
        <v>0</v>
      </c>
      <c r="AB66" s="848">
        <v>1</v>
      </c>
      <c r="AC66" s="848">
        <v>0</v>
      </c>
      <c r="AD66" s="848">
        <v>0</v>
      </c>
      <c r="AE66" s="848">
        <v>0</v>
      </c>
      <c r="AF66" s="848">
        <v>0</v>
      </c>
      <c r="AG66" s="848">
        <v>0</v>
      </c>
      <c r="AH66" s="848">
        <v>0</v>
      </c>
      <c r="AI66" s="848">
        <v>0</v>
      </c>
      <c r="AJ66" s="848"/>
      <c r="AK66" s="848">
        <v>0</v>
      </c>
      <c r="AL66" s="848">
        <v>0</v>
      </c>
      <c r="AM66" s="848">
        <v>0</v>
      </c>
      <c r="AN66" s="848">
        <v>0</v>
      </c>
      <c r="AO66" s="848">
        <v>0</v>
      </c>
      <c r="AP66" s="848">
        <v>0</v>
      </c>
      <c r="AQ66" s="848">
        <v>0</v>
      </c>
      <c r="AR66" s="848">
        <v>0</v>
      </c>
      <c r="AS66" s="848">
        <v>0</v>
      </c>
      <c r="AT66" s="848">
        <v>7</v>
      </c>
      <c r="AU66" s="848">
        <v>29</v>
      </c>
      <c r="AV66" s="849">
        <f t="shared" si="4"/>
        <v>5557</v>
      </c>
      <c r="AW66" s="848">
        <v>0</v>
      </c>
      <c r="AX66" s="848">
        <v>0</v>
      </c>
      <c r="AY66" s="848">
        <v>0</v>
      </c>
      <c r="AZ66" s="848">
        <v>0</v>
      </c>
      <c r="BA66" s="848">
        <v>0</v>
      </c>
      <c r="BB66" s="848">
        <v>0</v>
      </c>
      <c r="BC66" s="848">
        <v>0</v>
      </c>
      <c r="BD66" s="848">
        <v>0</v>
      </c>
      <c r="BE66" s="848">
        <v>0</v>
      </c>
      <c r="BF66" s="848">
        <v>1</v>
      </c>
      <c r="BG66" s="848">
        <v>0</v>
      </c>
      <c r="BH66" s="848">
        <v>0</v>
      </c>
      <c r="BI66" s="849">
        <f t="shared" si="3"/>
        <v>5558</v>
      </c>
    </row>
    <row r="67" spans="1:61" s="841" customFormat="1" ht="16.149999999999999" customHeight="1" x14ac:dyDescent="0.2">
      <c r="A67" s="837" t="s">
        <v>1220</v>
      </c>
      <c r="B67" s="838" t="s">
        <v>1221</v>
      </c>
      <c r="C67" s="839">
        <v>3778</v>
      </c>
      <c r="D67" s="839">
        <v>0</v>
      </c>
      <c r="E67" s="839">
        <v>2</v>
      </c>
      <c r="F67" s="839">
        <v>0</v>
      </c>
      <c r="G67" s="839">
        <v>0</v>
      </c>
      <c r="H67" s="839">
        <v>0</v>
      </c>
      <c r="I67" s="839">
        <v>0</v>
      </c>
      <c r="J67" s="839">
        <v>0</v>
      </c>
      <c r="K67" s="839">
        <v>0</v>
      </c>
      <c r="L67" s="839">
        <v>0</v>
      </c>
      <c r="M67" s="839">
        <v>13</v>
      </c>
      <c r="N67" s="839">
        <v>0</v>
      </c>
      <c r="O67" s="839">
        <v>1</v>
      </c>
      <c r="P67" s="839">
        <v>0</v>
      </c>
      <c r="Q67" s="839">
        <v>0</v>
      </c>
      <c r="R67" s="839">
        <v>0</v>
      </c>
      <c r="S67" s="839">
        <v>5</v>
      </c>
      <c r="T67" s="839">
        <v>51</v>
      </c>
      <c r="U67" s="839">
        <v>0</v>
      </c>
      <c r="V67" s="839">
        <v>0</v>
      </c>
      <c r="W67" s="839">
        <v>0</v>
      </c>
      <c r="X67" s="839">
        <v>0</v>
      </c>
      <c r="Y67" s="839">
        <v>0</v>
      </c>
      <c r="Z67" s="839">
        <v>0</v>
      </c>
      <c r="AA67" s="839">
        <v>1</v>
      </c>
      <c r="AB67" s="839">
        <v>0</v>
      </c>
      <c r="AC67" s="839">
        <v>0</v>
      </c>
      <c r="AD67" s="839">
        <v>0</v>
      </c>
      <c r="AE67" s="839">
        <v>0</v>
      </c>
      <c r="AF67" s="839">
        <v>0</v>
      </c>
      <c r="AG67" s="839">
        <v>0</v>
      </c>
      <c r="AH67" s="839">
        <v>0</v>
      </c>
      <c r="AI67" s="839">
        <v>0</v>
      </c>
      <c r="AJ67" s="839"/>
      <c r="AK67" s="839">
        <v>0</v>
      </c>
      <c r="AL67" s="839">
        <v>0</v>
      </c>
      <c r="AM67" s="839">
        <v>0</v>
      </c>
      <c r="AN67" s="839">
        <v>0</v>
      </c>
      <c r="AO67" s="839">
        <v>0</v>
      </c>
      <c r="AP67" s="839">
        <v>0</v>
      </c>
      <c r="AQ67" s="839">
        <v>0</v>
      </c>
      <c r="AR67" s="839">
        <v>0</v>
      </c>
      <c r="AS67" s="839">
        <v>0</v>
      </c>
      <c r="AT67" s="839">
        <v>11</v>
      </c>
      <c r="AU67" s="839">
        <v>27</v>
      </c>
      <c r="AV67" s="840">
        <f t="shared" si="4"/>
        <v>3889</v>
      </c>
      <c r="AW67" s="839">
        <v>0</v>
      </c>
      <c r="AX67" s="839">
        <v>0</v>
      </c>
      <c r="AY67" s="839">
        <v>0</v>
      </c>
      <c r="AZ67" s="839">
        <v>0</v>
      </c>
      <c r="BA67" s="839">
        <v>0</v>
      </c>
      <c r="BB67" s="839">
        <v>0</v>
      </c>
      <c r="BC67" s="839">
        <v>0</v>
      </c>
      <c r="BD67" s="839">
        <v>0</v>
      </c>
      <c r="BE67" s="839">
        <v>0</v>
      </c>
      <c r="BF67" s="839">
        <v>2</v>
      </c>
      <c r="BG67" s="839">
        <v>0</v>
      </c>
      <c r="BH67" s="839">
        <v>7</v>
      </c>
      <c r="BI67" s="840">
        <f t="shared" si="3"/>
        <v>3898</v>
      </c>
    </row>
    <row r="68" spans="1:61" s="841" customFormat="1" ht="16.149999999999999" customHeight="1" x14ac:dyDescent="0.2">
      <c r="A68" s="842" t="s">
        <v>1222</v>
      </c>
      <c r="B68" s="843" t="s">
        <v>1223</v>
      </c>
      <c r="C68" s="844">
        <v>1819</v>
      </c>
      <c r="D68" s="844">
        <v>0</v>
      </c>
      <c r="E68" s="844">
        <v>0</v>
      </c>
      <c r="F68" s="844">
        <v>0</v>
      </c>
      <c r="G68" s="844">
        <v>0</v>
      </c>
      <c r="H68" s="844">
        <v>0</v>
      </c>
      <c r="I68" s="844">
        <v>0</v>
      </c>
      <c r="J68" s="844">
        <v>0</v>
      </c>
      <c r="K68" s="844">
        <v>0</v>
      </c>
      <c r="L68" s="844">
        <v>0</v>
      </c>
      <c r="M68" s="844">
        <v>0</v>
      </c>
      <c r="N68" s="844">
        <v>0</v>
      </c>
      <c r="O68" s="844">
        <v>0</v>
      </c>
      <c r="P68" s="844">
        <v>0</v>
      </c>
      <c r="Q68" s="844">
        <v>0</v>
      </c>
      <c r="R68" s="844">
        <v>0</v>
      </c>
      <c r="S68" s="844">
        <v>0</v>
      </c>
      <c r="T68" s="844">
        <v>0</v>
      </c>
      <c r="U68" s="844">
        <v>0</v>
      </c>
      <c r="V68" s="844">
        <v>0</v>
      </c>
      <c r="W68" s="844">
        <v>0</v>
      </c>
      <c r="X68" s="844">
        <v>0</v>
      </c>
      <c r="Y68" s="844">
        <v>0</v>
      </c>
      <c r="Z68" s="844">
        <v>0</v>
      </c>
      <c r="AA68" s="844">
        <v>0</v>
      </c>
      <c r="AB68" s="844">
        <v>0</v>
      </c>
      <c r="AC68" s="844">
        <v>0</v>
      </c>
      <c r="AD68" s="844">
        <v>0</v>
      </c>
      <c r="AE68" s="844">
        <v>0</v>
      </c>
      <c r="AF68" s="844">
        <v>0</v>
      </c>
      <c r="AG68" s="844">
        <v>0</v>
      </c>
      <c r="AH68" s="844">
        <v>0</v>
      </c>
      <c r="AI68" s="844">
        <v>0</v>
      </c>
      <c r="AJ68" s="844"/>
      <c r="AK68" s="844">
        <v>0</v>
      </c>
      <c r="AL68" s="844">
        <v>0</v>
      </c>
      <c r="AM68" s="844">
        <v>0</v>
      </c>
      <c r="AN68" s="844">
        <v>0</v>
      </c>
      <c r="AO68" s="844">
        <v>0</v>
      </c>
      <c r="AP68" s="844">
        <v>0</v>
      </c>
      <c r="AQ68" s="844">
        <v>0</v>
      </c>
      <c r="AR68" s="844">
        <v>0</v>
      </c>
      <c r="AS68" s="844">
        <v>0</v>
      </c>
      <c r="AT68" s="844">
        <v>3</v>
      </c>
      <c r="AU68" s="844">
        <v>15</v>
      </c>
      <c r="AV68" s="845">
        <f t="shared" si="4"/>
        <v>1837</v>
      </c>
      <c r="AW68" s="844">
        <v>0</v>
      </c>
      <c r="AX68" s="844">
        <v>0</v>
      </c>
      <c r="AY68" s="844">
        <v>0</v>
      </c>
      <c r="AZ68" s="844">
        <v>0</v>
      </c>
      <c r="BA68" s="844">
        <v>33</v>
      </c>
      <c r="BB68" s="844">
        <v>0</v>
      </c>
      <c r="BC68" s="844">
        <v>0</v>
      </c>
      <c r="BD68" s="844">
        <v>0</v>
      </c>
      <c r="BE68" s="844">
        <v>0</v>
      </c>
      <c r="BF68" s="844">
        <v>1</v>
      </c>
      <c r="BG68" s="844">
        <v>0</v>
      </c>
      <c r="BH68" s="844">
        <v>0</v>
      </c>
      <c r="BI68" s="845">
        <f t="shared" si="3"/>
        <v>1871</v>
      </c>
    </row>
    <row r="69" spans="1:61" s="841" customFormat="1" ht="16.149999999999999" customHeight="1" x14ac:dyDescent="0.2">
      <c r="A69" s="842" t="s">
        <v>1224</v>
      </c>
      <c r="B69" s="843" t="s">
        <v>1225</v>
      </c>
      <c r="C69" s="844">
        <v>2050</v>
      </c>
      <c r="D69" s="844">
        <v>0</v>
      </c>
      <c r="E69" s="844">
        <v>0</v>
      </c>
      <c r="F69" s="844">
        <v>0</v>
      </c>
      <c r="G69" s="844">
        <v>0</v>
      </c>
      <c r="H69" s="844">
        <v>0</v>
      </c>
      <c r="I69" s="844">
        <v>0</v>
      </c>
      <c r="J69" s="844">
        <v>0</v>
      </c>
      <c r="K69" s="844">
        <v>0</v>
      </c>
      <c r="L69" s="844">
        <v>0</v>
      </c>
      <c r="M69" s="844">
        <v>3</v>
      </c>
      <c r="N69" s="844">
        <v>0</v>
      </c>
      <c r="O69" s="844">
        <v>0</v>
      </c>
      <c r="P69" s="844">
        <v>0</v>
      </c>
      <c r="Q69" s="844">
        <v>0</v>
      </c>
      <c r="R69" s="844">
        <v>0</v>
      </c>
      <c r="S69" s="844">
        <v>0</v>
      </c>
      <c r="T69" s="844">
        <v>0</v>
      </c>
      <c r="U69" s="844">
        <v>0</v>
      </c>
      <c r="V69" s="844">
        <v>0</v>
      </c>
      <c r="W69" s="844">
        <v>0</v>
      </c>
      <c r="X69" s="844">
        <v>0</v>
      </c>
      <c r="Y69" s="844">
        <v>0</v>
      </c>
      <c r="Z69" s="844">
        <v>0</v>
      </c>
      <c r="AA69" s="844">
        <v>0</v>
      </c>
      <c r="AB69" s="844">
        <v>0</v>
      </c>
      <c r="AC69" s="844">
        <v>0</v>
      </c>
      <c r="AD69" s="844">
        <v>0</v>
      </c>
      <c r="AE69" s="844">
        <v>0</v>
      </c>
      <c r="AF69" s="844">
        <v>0</v>
      </c>
      <c r="AG69" s="844">
        <v>0</v>
      </c>
      <c r="AH69" s="844">
        <v>0</v>
      </c>
      <c r="AI69" s="844">
        <v>0</v>
      </c>
      <c r="AJ69" s="844"/>
      <c r="AK69" s="844">
        <v>0</v>
      </c>
      <c r="AL69" s="844">
        <v>0</v>
      </c>
      <c r="AM69" s="844">
        <v>0</v>
      </c>
      <c r="AN69" s="844">
        <v>0</v>
      </c>
      <c r="AO69" s="844">
        <v>0</v>
      </c>
      <c r="AP69" s="844">
        <v>0</v>
      </c>
      <c r="AQ69" s="844">
        <v>0</v>
      </c>
      <c r="AR69" s="844">
        <v>0</v>
      </c>
      <c r="AS69" s="844">
        <v>0</v>
      </c>
      <c r="AT69" s="844">
        <v>8</v>
      </c>
      <c r="AU69" s="844">
        <v>8</v>
      </c>
      <c r="AV69" s="845">
        <f t="shared" si="4"/>
        <v>2069</v>
      </c>
      <c r="AW69" s="844">
        <v>0</v>
      </c>
      <c r="AX69" s="844">
        <v>0</v>
      </c>
      <c r="AY69" s="844">
        <v>0</v>
      </c>
      <c r="AZ69" s="844">
        <v>0</v>
      </c>
      <c r="BA69" s="844">
        <v>0</v>
      </c>
      <c r="BB69" s="844">
        <v>0</v>
      </c>
      <c r="BC69" s="844">
        <v>0</v>
      </c>
      <c r="BD69" s="844">
        <v>0</v>
      </c>
      <c r="BE69" s="844">
        <v>0</v>
      </c>
      <c r="BF69" s="844">
        <v>2</v>
      </c>
      <c r="BG69" s="844">
        <v>0</v>
      </c>
      <c r="BH69" s="844">
        <v>1</v>
      </c>
      <c r="BI69" s="845">
        <f t="shared" si="3"/>
        <v>2072</v>
      </c>
    </row>
    <row r="70" spans="1:61" s="841" customFormat="1" ht="16.149999999999999" customHeight="1" x14ac:dyDescent="0.2">
      <c r="A70" s="842" t="s">
        <v>1226</v>
      </c>
      <c r="B70" s="843" t="s">
        <v>1227</v>
      </c>
      <c r="C70" s="844">
        <v>1880</v>
      </c>
      <c r="D70" s="844">
        <v>0</v>
      </c>
      <c r="E70" s="844">
        <v>0</v>
      </c>
      <c r="F70" s="844">
        <v>0</v>
      </c>
      <c r="G70" s="844">
        <v>0</v>
      </c>
      <c r="H70" s="844">
        <v>0</v>
      </c>
      <c r="I70" s="844">
        <v>0</v>
      </c>
      <c r="J70" s="844">
        <v>0</v>
      </c>
      <c r="K70" s="844">
        <v>0</v>
      </c>
      <c r="L70" s="844">
        <v>0</v>
      </c>
      <c r="M70" s="844">
        <v>0</v>
      </c>
      <c r="N70" s="844">
        <v>0</v>
      </c>
      <c r="O70" s="844">
        <v>0</v>
      </c>
      <c r="P70" s="844">
        <v>0</v>
      </c>
      <c r="Q70" s="844">
        <v>0</v>
      </c>
      <c r="R70" s="844">
        <v>0</v>
      </c>
      <c r="S70" s="844">
        <v>0</v>
      </c>
      <c r="T70" s="844">
        <v>0</v>
      </c>
      <c r="U70" s="844">
        <v>0</v>
      </c>
      <c r="V70" s="844">
        <v>0</v>
      </c>
      <c r="W70" s="844">
        <v>0</v>
      </c>
      <c r="X70" s="844">
        <v>0</v>
      </c>
      <c r="Y70" s="844">
        <v>0</v>
      </c>
      <c r="Z70" s="844">
        <v>0</v>
      </c>
      <c r="AA70" s="844">
        <v>0</v>
      </c>
      <c r="AB70" s="844">
        <v>1</v>
      </c>
      <c r="AC70" s="844">
        <v>0</v>
      </c>
      <c r="AD70" s="844">
        <v>0</v>
      </c>
      <c r="AE70" s="844">
        <v>0</v>
      </c>
      <c r="AF70" s="844">
        <v>0</v>
      </c>
      <c r="AG70" s="844">
        <v>0</v>
      </c>
      <c r="AH70" s="844">
        <v>0</v>
      </c>
      <c r="AI70" s="844">
        <v>0</v>
      </c>
      <c r="AJ70" s="844"/>
      <c r="AK70" s="844">
        <v>0</v>
      </c>
      <c r="AL70" s="844">
        <v>0</v>
      </c>
      <c r="AM70" s="844">
        <v>0</v>
      </c>
      <c r="AN70" s="844">
        <v>0</v>
      </c>
      <c r="AO70" s="844">
        <v>0</v>
      </c>
      <c r="AP70" s="844">
        <v>0</v>
      </c>
      <c r="AQ70" s="844">
        <v>0</v>
      </c>
      <c r="AR70" s="844">
        <v>0</v>
      </c>
      <c r="AS70" s="844">
        <v>0</v>
      </c>
      <c r="AT70" s="844">
        <v>8</v>
      </c>
      <c r="AU70" s="844">
        <v>5</v>
      </c>
      <c r="AV70" s="845">
        <f t="shared" si="4"/>
        <v>1894</v>
      </c>
      <c r="AW70" s="844">
        <v>0</v>
      </c>
      <c r="AX70" s="844">
        <v>0</v>
      </c>
      <c r="AY70" s="844">
        <v>0</v>
      </c>
      <c r="AZ70" s="844">
        <v>0</v>
      </c>
      <c r="BA70" s="844">
        <v>0</v>
      </c>
      <c r="BB70" s="844">
        <v>0</v>
      </c>
      <c r="BC70" s="844">
        <v>0</v>
      </c>
      <c r="BD70" s="844">
        <v>0</v>
      </c>
      <c r="BE70" s="844">
        <v>0</v>
      </c>
      <c r="BF70" s="844">
        <v>0</v>
      </c>
      <c r="BG70" s="844">
        <v>0</v>
      </c>
      <c r="BH70" s="844">
        <v>0</v>
      </c>
      <c r="BI70" s="845">
        <f t="shared" si="3"/>
        <v>1894</v>
      </c>
    </row>
    <row r="71" spans="1:61" s="841" customFormat="1" ht="16.149999999999999" customHeight="1" x14ac:dyDescent="0.2">
      <c r="A71" s="846" t="s">
        <v>1228</v>
      </c>
      <c r="B71" s="847" t="s">
        <v>1229</v>
      </c>
      <c r="C71" s="848">
        <v>7814</v>
      </c>
      <c r="D71" s="848">
        <v>0</v>
      </c>
      <c r="E71" s="848">
        <v>0</v>
      </c>
      <c r="F71" s="848">
        <v>0</v>
      </c>
      <c r="G71" s="848">
        <v>0</v>
      </c>
      <c r="H71" s="848">
        <v>0</v>
      </c>
      <c r="I71" s="848">
        <v>0</v>
      </c>
      <c r="J71" s="848">
        <v>0</v>
      </c>
      <c r="K71" s="848">
        <v>0</v>
      </c>
      <c r="L71" s="848">
        <v>0</v>
      </c>
      <c r="M71" s="848">
        <v>0</v>
      </c>
      <c r="N71" s="848">
        <v>0</v>
      </c>
      <c r="O71" s="848">
        <v>0</v>
      </c>
      <c r="P71" s="848">
        <v>0</v>
      </c>
      <c r="Q71" s="848">
        <v>0</v>
      </c>
      <c r="R71" s="848">
        <v>0</v>
      </c>
      <c r="S71" s="848">
        <v>0</v>
      </c>
      <c r="T71" s="848">
        <v>0</v>
      </c>
      <c r="U71" s="848">
        <v>0</v>
      </c>
      <c r="V71" s="848">
        <v>0</v>
      </c>
      <c r="W71" s="848">
        <v>0</v>
      </c>
      <c r="X71" s="848">
        <v>0</v>
      </c>
      <c r="Y71" s="848">
        <v>0</v>
      </c>
      <c r="Z71" s="848">
        <v>0</v>
      </c>
      <c r="AA71" s="848">
        <v>0</v>
      </c>
      <c r="AB71" s="848">
        <v>0</v>
      </c>
      <c r="AC71" s="848">
        <v>0</v>
      </c>
      <c r="AD71" s="848">
        <v>0</v>
      </c>
      <c r="AE71" s="848">
        <v>0</v>
      </c>
      <c r="AF71" s="848">
        <v>0</v>
      </c>
      <c r="AG71" s="848">
        <v>0</v>
      </c>
      <c r="AH71" s="848">
        <v>0</v>
      </c>
      <c r="AI71" s="848">
        <v>0</v>
      </c>
      <c r="AJ71" s="848"/>
      <c r="AK71" s="848">
        <v>0</v>
      </c>
      <c r="AL71" s="848">
        <v>0</v>
      </c>
      <c r="AM71" s="848">
        <v>0</v>
      </c>
      <c r="AN71" s="848">
        <v>0</v>
      </c>
      <c r="AO71" s="848">
        <v>0</v>
      </c>
      <c r="AP71" s="848">
        <v>0</v>
      </c>
      <c r="AQ71" s="848">
        <v>0</v>
      </c>
      <c r="AR71" s="848">
        <v>0</v>
      </c>
      <c r="AS71" s="848">
        <v>0</v>
      </c>
      <c r="AT71" s="848">
        <v>5</v>
      </c>
      <c r="AU71" s="848">
        <v>4</v>
      </c>
      <c r="AV71" s="849">
        <f t="shared" si="4"/>
        <v>7823</v>
      </c>
      <c r="AW71" s="848">
        <v>171</v>
      </c>
      <c r="AX71" s="848">
        <v>0</v>
      </c>
      <c r="AY71" s="848">
        <v>0</v>
      </c>
      <c r="AZ71" s="848">
        <v>0</v>
      </c>
      <c r="BA71" s="848">
        <v>1</v>
      </c>
      <c r="BB71" s="848">
        <v>0</v>
      </c>
      <c r="BC71" s="848">
        <v>0</v>
      </c>
      <c r="BD71" s="848">
        <v>0</v>
      </c>
      <c r="BE71" s="848">
        <v>0</v>
      </c>
      <c r="BF71" s="848">
        <v>2</v>
      </c>
      <c r="BG71" s="848">
        <v>0</v>
      </c>
      <c r="BH71" s="848">
        <v>1</v>
      </c>
      <c r="BI71" s="849">
        <f>SUM(AV71:BH71)</f>
        <v>7998</v>
      </c>
    </row>
    <row r="72" spans="1:61" s="841" customFormat="1" ht="16.149999999999999" customHeight="1" x14ac:dyDescent="0.2">
      <c r="A72" s="837" t="s">
        <v>1230</v>
      </c>
      <c r="B72" s="838" t="s">
        <v>1231</v>
      </c>
      <c r="C72" s="839">
        <v>1850</v>
      </c>
      <c r="D72" s="839">
        <v>0</v>
      </c>
      <c r="E72" s="839">
        <v>0</v>
      </c>
      <c r="F72" s="839">
        <v>0</v>
      </c>
      <c r="G72" s="839">
        <v>0</v>
      </c>
      <c r="H72" s="839">
        <v>0</v>
      </c>
      <c r="I72" s="839">
        <v>0</v>
      </c>
      <c r="J72" s="839">
        <v>0</v>
      </c>
      <c r="K72" s="839">
        <v>0</v>
      </c>
      <c r="L72" s="839">
        <v>0</v>
      </c>
      <c r="M72" s="839">
        <v>0</v>
      </c>
      <c r="N72" s="839">
        <v>0</v>
      </c>
      <c r="O72" s="839">
        <v>0</v>
      </c>
      <c r="P72" s="839">
        <v>0</v>
      </c>
      <c r="Q72" s="839">
        <v>0</v>
      </c>
      <c r="R72" s="839">
        <v>0</v>
      </c>
      <c r="S72" s="839">
        <v>0</v>
      </c>
      <c r="T72" s="839">
        <v>0</v>
      </c>
      <c r="U72" s="839">
        <v>0</v>
      </c>
      <c r="V72" s="839">
        <v>0</v>
      </c>
      <c r="W72" s="839">
        <v>0</v>
      </c>
      <c r="X72" s="839">
        <v>0</v>
      </c>
      <c r="Y72" s="839">
        <v>0</v>
      </c>
      <c r="Z72" s="839">
        <v>0</v>
      </c>
      <c r="AA72" s="839">
        <v>0</v>
      </c>
      <c r="AB72" s="839">
        <v>0</v>
      </c>
      <c r="AC72" s="839">
        <v>0</v>
      </c>
      <c r="AD72" s="839">
        <v>0</v>
      </c>
      <c r="AE72" s="839">
        <v>0</v>
      </c>
      <c r="AF72" s="839">
        <v>0</v>
      </c>
      <c r="AG72" s="839">
        <v>0</v>
      </c>
      <c r="AH72" s="839">
        <v>0</v>
      </c>
      <c r="AI72" s="839">
        <v>0</v>
      </c>
      <c r="AJ72" s="839"/>
      <c r="AK72" s="839">
        <v>0</v>
      </c>
      <c r="AL72" s="839">
        <v>0</v>
      </c>
      <c r="AM72" s="839">
        <v>0</v>
      </c>
      <c r="AN72" s="839">
        <v>0</v>
      </c>
      <c r="AO72" s="839">
        <v>0</v>
      </c>
      <c r="AP72" s="839">
        <v>0</v>
      </c>
      <c r="AQ72" s="839">
        <v>0</v>
      </c>
      <c r="AR72" s="839">
        <v>0</v>
      </c>
      <c r="AS72" s="839">
        <v>0</v>
      </c>
      <c r="AT72" s="839">
        <v>13</v>
      </c>
      <c r="AU72" s="839">
        <v>23</v>
      </c>
      <c r="AV72" s="840">
        <f t="shared" si="4"/>
        <v>1886</v>
      </c>
      <c r="AW72" s="839">
        <v>0</v>
      </c>
      <c r="AX72" s="839">
        <v>0</v>
      </c>
      <c r="AY72" s="839">
        <v>0</v>
      </c>
      <c r="AZ72" s="839">
        <v>0</v>
      </c>
      <c r="BA72" s="839">
        <v>0</v>
      </c>
      <c r="BB72" s="839">
        <v>0</v>
      </c>
      <c r="BC72" s="839">
        <v>0</v>
      </c>
      <c r="BD72" s="839">
        <v>0</v>
      </c>
      <c r="BE72" s="839">
        <v>0</v>
      </c>
      <c r="BF72" s="839">
        <v>0</v>
      </c>
      <c r="BG72" s="839">
        <v>0</v>
      </c>
      <c r="BH72" s="839">
        <v>0</v>
      </c>
      <c r="BI72" s="840">
        <f>SUM(AV72:BH72)</f>
        <v>1886</v>
      </c>
    </row>
    <row r="73" spans="1:61" s="841" customFormat="1" ht="16.149999999999999" customHeight="1" x14ac:dyDescent="0.2">
      <c r="A73" s="842" t="s">
        <v>1232</v>
      </c>
      <c r="B73" s="843" t="s">
        <v>1233</v>
      </c>
      <c r="C73" s="844">
        <v>5296</v>
      </c>
      <c r="D73" s="844">
        <v>0</v>
      </c>
      <c r="E73" s="844">
        <v>4</v>
      </c>
      <c r="F73" s="844">
        <v>0</v>
      </c>
      <c r="G73" s="844">
        <v>0</v>
      </c>
      <c r="H73" s="844">
        <v>0</v>
      </c>
      <c r="I73" s="844">
        <v>0</v>
      </c>
      <c r="J73" s="844">
        <v>0</v>
      </c>
      <c r="K73" s="844">
        <v>0</v>
      </c>
      <c r="L73" s="844">
        <v>0</v>
      </c>
      <c r="M73" s="844">
        <v>8</v>
      </c>
      <c r="N73" s="844">
        <v>0</v>
      </c>
      <c r="O73" s="844">
        <v>0</v>
      </c>
      <c r="P73" s="844">
        <v>0</v>
      </c>
      <c r="Q73" s="844">
        <v>6</v>
      </c>
      <c r="R73" s="844">
        <v>0</v>
      </c>
      <c r="S73" s="844">
        <v>16</v>
      </c>
      <c r="T73" s="844">
        <v>0</v>
      </c>
      <c r="U73" s="844">
        <v>0</v>
      </c>
      <c r="V73" s="844">
        <v>0</v>
      </c>
      <c r="W73" s="844">
        <v>0</v>
      </c>
      <c r="X73" s="844">
        <v>0</v>
      </c>
      <c r="Y73" s="844">
        <v>0</v>
      </c>
      <c r="Z73" s="844">
        <v>0</v>
      </c>
      <c r="AA73" s="844">
        <v>0</v>
      </c>
      <c r="AB73" s="844">
        <v>0</v>
      </c>
      <c r="AC73" s="844">
        <v>0</v>
      </c>
      <c r="AD73" s="844">
        <v>0</v>
      </c>
      <c r="AE73" s="844">
        <v>0</v>
      </c>
      <c r="AF73" s="844">
        <v>0</v>
      </c>
      <c r="AG73" s="844">
        <v>0</v>
      </c>
      <c r="AH73" s="844">
        <v>0</v>
      </c>
      <c r="AI73" s="844">
        <v>0</v>
      </c>
      <c r="AJ73" s="844"/>
      <c r="AK73" s="844">
        <v>0</v>
      </c>
      <c r="AL73" s="844">
        <v>0</v>
      </c>
      <c r="AM73" s="844">
        <v>0</v>
      </c>
      <c r="AN73" s="844">
        <v>0</v>
      </c>
      <c r="AO73" s="844">
        <v>0</v>
      </c>
      <c r="AP73" s="844">
        <v>0</v>
      </c>
      <c r="AQ73" s="844">
        <v>0</v>
      </c>
      <c r="AR73" s="844">
        <v>0</v>
      </c>
      <c r="AS73" s="844">
        <v>0</v>
      </c>
      <c r="AT73" s="844">
        <v>10</v>
      </c>
      <c r="AU73" s="844">
        <v>31</v>
      </c>
      <c r="AV73" s="845">
        <f t="shared" si="4"/>
        <v>5371</v>
      </c>
      <c r="AW73" s="844">
        <v>0</v>
      </c>
      <c r="AX73" s="844">
        <v>0</v>
      </c>
      <c r="AY73" s="844">
        <v>0</v>
      </c>
      <c r="AZ73" s="844">
        <v>0</v>
      </c>
      <c r="BA73" s="844">
        <v>0</v>
      </c>
      <c r="BB73" s="844">
        <v>0</v>
      </c>
      <c r="BC73" s="844">
        <v>0</v>
      </c>
      <c r="BD73" s="844">
        <v>0</v>
      </c>
      <c r="BE73" s="844">
        <v>0</v>
      </c>
      <c r="BF73" s="844">
        <v>1</v>
      </c>
      <c r="BG73" s="844">
        <v>0</v>
      </c>
      <c r="BH73" s="844">
        <v>1</v>
      </c>
      <c r="BI73" s="845">
        <f>SUM(AV73:BH73)</f>
        <v>5373</v>
      </c>
    </row>
    <row r="74" spans="1:61" s="841" customFormat="1" ht="16.149999999999999" customHeight="1" x14ac:dyDescent="0.2">
      <c r="A74" s="842" t="s">
        <v>1234</v>
      </c>
      <c r="B74" s="843" t="s">
        <v>1235</v>
      </c>
      <c r="C74" s="844">
        <v>1090</v>
      </c>
      <c r="D74" s="844">
        <v>0</v>
      </c>
      <c r="E74" s="844">
        <v>11</v>
      </c>
      <c r="F74" s="844">
        <v>0</v>
      </c>
      <c r="G74" s="844">
        <v>0</v>
      </c>
      <c r="H74" s="844">
        <v>0</v>
      </c>
      <c r="I74" s="844">
        <v>0</v>
      </c>
      <c r="J74" s="844">
        <v>0</v>
      </c>
      <c r="K74" s="844">
        <v>0</v>
      </c>
      <c r="L74" s="844">
        <v>0</v>
      </c>
      <c r="M74" s="844">
        <v>17</v>
      </c>
      <c r="N74" s="844">
        <v>0</v>
      </c>
      <c r="O74" s="844">
        <v>1</v>
      </c>
      <c r="P74" s="844">
        <v>0</v>
      </c>
      <c r="Q74" s="844">
        <v>149</v>
      </c>
      <c r="R74" s="844">
        <v>0</v>
      </c>
      <c r="S74" s="844">
        <v>248</v>
      </c>
      <c r="T74" s="844">
        <v>0</v>
      </c>
      <c r="U74" s="844">
        <v>0</v>
      </c>
      <c r="V74" s="844">
        <v>0</v>
      </c>
      <c r="W74" s="844">
        <v>0</v>
      </c>
      <c r="X74" s="844">
        <v>0</v>
      </c>
      <c r="Y74" s="844">
        <v>0</v>
      </c>
      <c r="Z74" s="844">
        <v>0</v>
      </c>
      <c r="AA74" s="844">
        <v>8</v>
      </c>
      <c r="AB74" s="844">
        <v>0</v>
      </c>
      <c r="AC74" s="844">
        <v>0</v>
      </c>
      <c r="AD74" s="844">
        <v>0</v>
      </c>
      <c r="AE74" s="844">
        <v>0</v>
      </c>
      <c r="AF74" s="844">
        <v>0</v>
      </c>
      <c r="AG74" s="844">
        <v>0</v>
      </c>
      <c r="AH74" s="844">
        <v>0</v>
      </c>
      <c r="AI74" s="844">
        <v>6</v>
      </c>
      <c r="AJ74" s="844"/>
      <c r="AK74" s="844">
        <v>0</v>
      </c>
      <c r="AL74" s="844">
        <v>0</v>
      </c>
      <c r="AM74" s="844">
        <v>1</v>
      </c>
      <c r="AN74" s="844">
        <v>0</v>
      </c>
      <c r="AO74" s="844">
        <v>0</v>
      </c>
      <c r="AP74" s="844">
        <v>0</v>
      </c>
      <c r="AQ74" s="844">
        <v>0</v>
      </c>
      <c r="AR74" s="844">
        <v>0</v>
      </c>
      <c r="AS74" s="844">
        <v>0</v>
      </c>
      <c r="AT74" s="844">
        <v>3</v>
      </c>
      <c r="AU74" s="844">
        <v>9</v>
      </c>
      <c r="AV74" s="845">
        <f t="shared" si="4"/>
        <v>1543</v>
      </c>
      <c r="AW74" s="844">
        <v>0</v>
      </c>
      <c r="AX74" s="844">
        <v>0</v>
      </c>
      <c r="AY74" s="844">
        <v>0</v>
      </c>
      <c r="AZ74" s="844">
        <v>0</v>
      </c>
      <c r="BA74" s="844">
        <v>0</v>
      </c>
      <c r="BB74" s="844">
        <v>0</v>
      </c>
      <c r="BC74" s="844">
        <v>0</v>
      </c>
      <c r="BD74" s="844">
        <v>0</v>
      </c>
      <c r="BE74" s="844">
        <v>0</v>
      </c>
      <c r="BF74" s="844">
        <v>0</v>
      </c>
      <c r="BG74" s="844">
        <v>0</v>
      </c>
      <c r="BH74" s="844">
        <v>0</v>
      </c>
      <c r="BI74" s="845">
        <f>SUM(AV74:BH74)</f>
        <v>1543</v>
      </c>
    </row>
    <row r="75" spans="1:61" s="841" customFormat="1" ht="16.149999999999999" customHeight="1" x14ac:dyDescent="0.2">
      <c r="A75" s="842" t="s">
        <v>1236</v>
      </c>
      <c r="B75" s="843" t="s">
        <v>1237</v>
      </c>
      <c r="C75" s="844">
        <v>4704</v>
      </c>
      <c r="D75" s="844">
        <v>0</v>
      </c>
      <c r="E75" s="844">
        <v>4</v>
      </c>
      <c r="F75" s="844">
        <v>0</v>
      </c>
      <c r="G75" s="844">
        <v>0</v>
      </c>
      <c r="H75" s="844">
        <v>0</v>
      </c>
      <c r="I75" s="844">
        <v>0</v>
      </c>
      <c r="J75" s="844">
        <v>0</v>
      </c>
      <c r="K75" s="844">
        <v>0</v>
      </c>
      <c r="L75" s="844">
        <v>0</v>
      </c>
      <c r="M75" s="844">
        <v>15</v>
      </c>
      <c r="N75" s="844">
        <v>0</v>
      </c>
      <c r="O75" s="844">
        <v>2</v>
      </c>
      <c r="P75" s="844">
        <v>0</v>
      </c>
      <c r="Q75" s="844">
        <v>0</v>
      </c>
      <c r="R75" s="844">
        <v>0</v>
      </c>
      <c r="S75" s="844">
        <v>9</v>
      </c>
      <c r="T75" s="844">
        <v>0</v>
      </c>
      <c r="U75" s="844">
        <v>0</v>
      </c>
      <c r="V75" s="844">
        <v>0</v>
      </c>
      <c r="W75" s="844">
        <v>0</v>
      </c>
      <c r="X75" s="844">
        <v>0</v>
      </c>
      <c r="Y75" s="844">
        <v>0</v>
      </c>
      <c r="Z75" s="844">
        <v>0</v>
      </c>
      <c r="AA75" s="844">
        <v>3</v>
      </c>
      <c r="AB75" s="844">
        <v>0</v>
      </c>
      <c r="AC75" s="844">
        <v>0</v>
      </c>
      <c r="AD75" s="844">
        <v>0</v>
      </c>
      <c r="AE75" s="844">
        <v>0</v>
      </c>
      <c r="AF75" s="844">
        <v>0</v>
      </c>
      <c r="AG75" s="844">
        <v>0</v>
      </c>
      <c r="AH75" s="844">
        <v>0</v>
      </c>
      <c r="AI75" s="844">
        <v>0</v>
      </c>
      <c r="AJ75" s="844"/>
      <c r="AK75" s="844">
        <v>0</v>
      </c>
      <c r="AL75" s="844">
        <v>0</v>
      </c>
      <c r="AM75" s="844">
        <v>0</v>
      </c>
      <c r="AN75" s="844">
        <v>0</v>
      </c>
      <c r="AO75" s="844">
        <v>0</v>
      </c>
      <c r="AP75" s="844">
        <v>0</v>
      </c>
      <c r="AQ75" s="844">
        <v>0</v>
      </c>
      <c r="AR75" s="844">
        <v>0</v>
      </c>
      <c r="AS75" s="844">
        <v>0</v>
      </c>
      <c r="AT75" s="844">
        <v>7</v>
      </c>
      <c r="AU75" s="844">
        <v>16</v>
      </c>
      <c r="AV75" s="845">
        <f t="shared" si="4"/>
        <v>4760</v>
      </c>
      <c r="AW75" s="844">
        <v>0</v>
      </c>
      <c r="AX75" s="844">
        <v>0</v>
      </c>
      <c r="AY75" s="844">
        <v>0</v>
      </c>
      <c r="AZ75" s="844">
        <v>0</v>
      </c>
      <c r="BA75" s="844">
        <v>0</v>
      </c>
      <c r="BB75" s="844">
        <v>0</v>
      </c>
      <c r="BC75" s="844">
        <v>0</v>
      </c>
      <c r="BD75" s="844">
        <v>0</v>
      </c>
      <c r="BE75" s="844">
        <v>0</v>
      </c>
      <c r="BF75" s="844">
        <v>3</v>
      </c>
      <c r="BG75" s="844">
        <v>0</v>
      </c>
      <c r="BH75" s="844">
        <v>0</v>
      </c>
      <c r="BI75" s="845">
        <f>SUM(AV75:BH75)</f>
        <v>4763</v>
      </c>
    </row>
    <row r="76" spans="1:61" s="854" customFormat="1" ht="16.149999999999999" customHeight="1" thickBot="1" x14ac:dyDescent="0.25">
      <c r="A76" s="850"/>
      <c r="B76" s="851" t="s">
        <v>713</v>
      </c>
      <c r="C76" s="852">
        <f>SUM(C7:C75)</f>
        <v>641151</v>
      </c>
      <c r="D76" s="852">
        <f>SUM(D7:D75)</f>
        <v>2903</v>
      </c>
      <c r="E76" s="852">
        <f>SUM(E7:E75)</f>
        <v>592</v>
      </c>
      <c r="F76" s="852">
        <f>SUM(F7:F75)</f>
        <v>932</v>
      </c>
      <c r="G76" s="852">
        <f t="shared" ref="G76:AI76" si="5">SUM(G7:G75)</f>
        <v>379</v>
      </c>
      <c r="H76" s="852">
        <f t="shared" si="5"/>
        <v>998</v>
      </c>
      <c r="I76" s="852">
        <f t="shared" si="5"/>
        <v>994</v>
      </c>
      <c r="J76" s="852">
        <f t="shared" si="5"/>
        <v>823</v>
      </c>
      <c r="K76" s="852">
        <f t="shared" si="5"/>
        <v>248</v>
      </c>
      <c r="L76" s="852">
        <f t="shared" si="5"/>
        <v>570</v>
      </c>
      <c r="M76" s="852">
        <f t="shared" si="5"/>
        <v>429</v>
      </c>
      <c r="N76" s="852">
        <f t="shared" si="5"/>
        <v>183</v>
      </c>
      <c r="O76" s="852">
        <f t="shared" si="5"/>
        <v>668</v>
      </c>
      <c r="P76" s="852">
        <f t="shared" si="5"/>
        <v>454</v>
      </c>
      <c r="Q76" s="852">
        <f t="shared" si="5"/>
        <v>380</v>
      </c>
      <c r="R76" s="852"/>
      <c r="S76" s="852">
        <f t="shared" si="5"/>
        <v>518</v>
      </c>
      <c r="T76" s="852">
        <f t="shared" si="5"/>
        <v>526</v>
      </c>
      <c r="U76" s="852">
        <f t="shared" si="5"/>
        <v>504</v>
      </c>
      <c r="V76" s="852">
        <f t="shared" si="5"/>
        <v>180</v>
      </c>
      <c r="W76" s="852">
        <f t="shared" si="5"/>
        <v>1400</v>
      </c>
      <c r="X76" s="852">
        <f t="shared" si="5"/>
        <v>1000</v>
      </c>
      <c r="Y76" s="852">
        <f t="shared" si="5"/>
        <v>621</v>
      </c>
      <c r="Z76" s="852"/>
      <c r="AA76" s="852">
        <f t="shared" si="5"/>
        <v>710</v>
      </c>
      <c r="AB76" s="852">
        <f t="shared" si="5"/>
        <v>569</v>
      </c>
      <c r="AC76" s="852">
        <f t="shared" si="5"/>
        <v>0</v>
      </c>
      <c r="AD76" s="852"/>
      <c r="AE76" s="852">
        <f t="shared" si="5"/>
        <v>0</v>
      </c>
      <c r="AF76" s="852">
        <f t="shared" si="5"/>
        <v>0</v>
      </c>
      <c r="AG76" s="852">
        <f t="shared" si="5"/>
        <v>107</v>
      </c>
      <c r="AH76" s="852">
        <f t="shared" si="5"/>
        <v>67</v>
      </c>
      <c r="AI76" s="852">
        <f t="shared" si="5"/>
        <v>462</v>
      </c>
      <c r="AJ76" s="852">
        <f>SUM(AJ7:AJ75)</f>
        <v>0</v>
      </c>
      <c r="AK76" s="852">
        <f t="shared" ref="AK76:AS76" si="6">SUM(AK7:AK75)</f>
        <v>170</v>
      </c>
      <c r="AL76" s="852">
        <f t="shared" si="6"/>
        <v>1237</v>
      </c>
      <c r="AM76" s="852">
        <f t="shared" si="6"/>
        <v>195</v>
      </c>
      <c r="AN76" s="852">
        <f t="shared" si="6"/>
        <v>270</v>
      </c>
      <c r="AO76" s="852">
        <f t="shared" si="6"/>
        <v>0</v>
      </c>
      <c r="AP76" s="852">
        <f t="shared" si="6"/>
        <v>0</v>
      </c>
      <c r="AQ76" s="852">
        <f t="shared" si="6"/>
        <v>0</v>
      </c>
      <c r="AR76" s="852">
        <f t="shared" si="6"/>
        <v>0</v>
      </c>
      <c r="AS76" s="852">
        <f t="shared" si="6"/>
        <v>0</v>
      </c>
      <c r="AT76" s="852">
        <f>SUM(AT7:AT75)</f>
        <v>1918</v>
      </c>
      <c r="AU76" s="852">
        <f>SUM(AU7:AU75)</f>
        <v>3491</v>
      </c>
      <c r="AV76" s="853">
        <f t="shared" ref="AV76:BI76" si="7">SUM(AV7:AV75)</f>
        <v>665649</v>
      </c>
      <c r="AW76" s="852">
        <f t="shared" si="7"/>
        <v>256</v>
      </c>
      <c r="AX76" s="852">
        <f t="shared" si="7"/>
        <v>383</v>
      </c>
      <c r="AY76" s="852">
        <f t="shared" si="7"/>
        <v>1291</v>
      </c>
      <c r="AZ76" s="852">
        <f t="shared" si="7"/>
        <v>664</v>
      </c>
      <c r="BA76" s="852">
        <f t="shared" si="7"/>
        <v>763</v>
      </c>
      <c r="BB76" s="852">
        <f t="shared" si="7"/>
        <v>871</v>
      </c>
      <c r="BC76" s="852">
        <f t="shared" si="7"/>
        <v>120</v>
      </c>
      <c r="BD76" s="852">
        <f t="shared" si="7"/>
        <v>1428</v>
      </c>
      <c r="BE76" s="852">
        <f t="shared" si="7"/>
        <v>672</v>
      </c>
      <c r="BF76" s="852">
        <f t="shared" si="7"/>
        <v>311</v>
      </c>
      <c r="BG76" s="852">
        <f t="shared" si="7"/>
        <v>237</v>
      </c>
      <c r="BH76" s="852">
        <f t="shared" si="7"/>
        <v>169</v>
      </c>
      <c r="BI76" s="853">
        <f t="shared" si="7"/>
        <v>672814</v>
      </c>
    </row>
    <row r="77" spans="1:61" s="854" customFormat="1" ht="15.75" customHeight="1" thickTop="1" x14ac:dyDescent="0.2">
      <c r="A77" s="855"/>
      <c r="B77" s="856"/>
      <c r="C77" s="857" t="s">
        <v>1238</v>
      </c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/>
      <c r="V77" s="858"/>
      <c r="W77" s="858"/>
      <c r="X77" s="858"/>
      <c r="Y77" s="858"/>
      <c r="Z77" s="858"/>
      <c r="AA77" s="858"/>
      <c r="AB77" s="858"/>
      <c r="AC77" s="858"/>
      <c r="AD77" s="858"/>
      <c r="AE77" s="858"/>
      <c r="AF77" s="858"/>
      <c r="AG77" s="858"/>
      <c r="AH77" s="858"/>
      <c r="AI77" s="858"/>
      <c r="AJ77" s="858"/>
      <c r="AK77" s="858"/>
      <c r="AL77" s="858"/>
      <c r="AM77" s="858"/>
      <c r="AN77" s="858"/>
      <c r="AO77" s="858"/>
      <c r="AP77" s="858"/>
      <c r="AQ77" s="858"/>
      <c r="AR77" s="858"/>
      <c r="AS77" s="858"/>
      <c r="AT77" s="858"/>
      <c r="AU77" s="858"/>
      <c r="AW77" s="858"/>
      <c r="AX77" s="858"/>
      <c r="AY77" s="858"/>
      <c r="AZ77" s="858"/>
      <c r="BA77" s="858"/>
      <c r="BB77" s="858"/>
      <c r="BC77" s="858"/>
      <c r="BD77" s="858"/>
      <c r="BE77" s="859"/>
      <c r="BF77" s="859"/>
      <c r="BG77" s="859"/>
      <c r="BH77" s="859"/>
    </row>
  </sheetData>
  <sheetProtection password="D893" sheet="1" objects="1" scenarios="1" formatCells="0" formatColumns="0" formatRows="0"/>
  <mergeCells count="12">
    <mergeCell ref="BI1:BI3"/>
    <mergeCell ref="A1:B3"/>
    <mergeCell ref="C1:C3"/>
    <mergeCell ref="D1:D3"/>
    <mergeCell ref="E1:I1"/>
    <mergeCell ref="J1:P1"/>
    <mergeCell ref="Q1:X1"/>
    <mergeCell ref="Y1:AJ1"/>
    <mergeCell ref="AK1:AU1"/>
    <mergeCell ref="AV1:AV3"/>
    <mergeCell ref="AW1:BC1"/>
    <mergeCell ref="BD1:BH1"/>
  </mergeCells>
  <printOptions horizontalCentered="1"/>
  <pageMargins left="0.4" right="0.4" top="1" bottom="0.5" header="0.3" footer="0.3"/>
  <pageSetup paperSize="5" scale="73" fitToWidth="0" orientation="portrait" r:id="rId1"/>
  <headerFooter>
    <oddHeader>&amp;L&amp;"Arial,Bold"&amp;18&amp;K000000Table 8: FY2021-22 Budget Letter
February 1, 2021 Student Membership</oddHeader>
    <oddFooter>&amp;R&amp;P</oddFooter>
  </headerFooter>
  <colBreaks count="6" manualBreakCount="6">
    <brk id="9" max="1048575" man="1"/>
    <brk id="16" max="1048575" man="1"/>
    <brk id="24" max="1048575" man="1"/>
    <brk id="36" max="76" man="1"/>
    <brk id="48" max="76" man="1"/>
    <brk id="55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F13"/>
  <sheetViews>
    <sheetView zoomScaleNormal="100" zoomScaleSheetLayoutView="100" workbookViewId="0">
      <pane xSplit="3" ySplit="3" topLeftCell="D4" activePane="bottomRight" state="frozen"/>
      <selection activeCell="B7" sqref="B7"/>
      <selection pane="topRight" activeCell="B7" sqref="B7"/>
      <selection pane="bottomLeft" activeCell="B7" sqref="B7"/>
      <selection pane="bottomRight" activeCell="D4" sqref="D4"/>
    </sheetView>
  </sheetViews>
  <sheetFormatPr defaultColWidth="8.85546875" defaultRowHeight="15" x14ac:dyDescent="0.25"/>
  <cols>
    <col min="1" max="1" width="9" style="875" bestFit="1" customWidth="1"/>
    <col min="2" max="2" width="8.42578125" style="875" hidden="1" customWidth="1"/>
    <col min="3" max="3" width="46.7109375" style="868" bestFit="1" customWidth="1"/>
    <col min="4" max="5" width="10.7109375" style="868" customWidth="1"/>
    <col min="6" max="6" width="10.7109375" style="876" customWidth="1"/>
    <col min="7" max="16384" width="8.85546875" style="868"/>
  </cols>
  <sheetData>
    <row r="1" spans="1:6" s="862" customFormat="1" ht="69.75" customHeight="1" x14ac:dyDescent="0.2">
      <c r="A1" s="1137" t="s">
        <v>1239</v>
      </c>
      <c r="B1" s="1138"/>
      <c r="C1" s="1139"/>
      <c r="D1" s="860" t="s">
        <v>1240</v>
      </c>
      <c r="E1" s="860" t="s">
        <v>1241</v>
      </c>
      <c r="F1" s="861" t="s">
        <v>1242</v>
      </c>
    </row>
    <row r="2" spans="1:6" s="862" customFormat="1" ht="19.149999999999999" customHeight="1" x14ac:dyDescent="0.2">
      <c r="A2" s="755"/>
      <c r="B2" s="755"/>
      <c r="C2" s="755"/>
      <c r="D2" s="755">
        <v>1</v>
      </c>
      <c r="E2" s="755">
        <f>D2+1</f>
        <v>2</v>
      </c>
      <c r="F2" s="755">
        <f>E2+1</f>
        <v>3</v>
      </c>
    </row>
    <row r="3" spans="1:6" s="862" customFormat="1" ht="19.149999999999999" hidden="1" customHeight="1" x14ac:dyDescent="0.2">
      <c r="A3" s="863"/>
      <c r="B3" s="863"/>
      <c r="C3" s="863"/>
      <c r="D3" s="863"/>
      <c r="E3" s="863"/>
      <c r="F3" s="863"/>
    </row>
    <row r="4" spans="1:6" ht="19.5" customHeight="1" x14ac:dyDescent="0.2">
      <c r="A4" s="864">
        <v>396211</v>
      </c>
      <c r="B4" s="864">
        <v>396211</v>
      </c>
      <c r="C4" s="843" t="s">
        <v>606</v>
      </c>
      <c r="D4" s="865">
        <v>935</v>
      </c>
      <c r="E4" s="866"/>
      <c r="F4" s="867">
        <f t="shared" ref="F4:F10" si="0">SUM(D4:E4)</f>
        <v>935</v>
      </c>
    </row>
    <row r="5" spans="1:6" ht="19.5" customHeight="1" x14ac:dyDescent="0.2">
      <c r="A5" s="864" t="s">
        <v>607</v>
      </c>
      <c r="B5" s="864" t="s">
        <v>607</v>
      </c>
      <c r="C5" s="843" t="s">
        <v>608</v>
      </c>
      <c r="D5" s="866"/>
      <c r="E5" s="844">
        <v>337</v>
      </c>
      <c r="F5" s="867">
        <f t="shared" si="0"/>
        <v>337</v>
      </c>
    </row>
    <row r="6" spans="1:6" ht="19.5" customHeight="1" x14ac:dyDescent="0.2">
      <c r="A6" s="864" t="s">
        <v>609</v>
      </c>
      <c r="B6" s="864" t="s">
        <v>610</v>
      </c>
      <c r="C6" s="843" t="s">
        <v>1243</v>
      </c>
      <c r="D6" s="866"/>
      <c r="E6" s="844">
        <v>226</v>
      </c>
      <c r="F6" s="867">
        <f t="shared" si="0"/>
        <v>226</v>
      </c>
    </row>
    <row r="7" spans="1:6" ht="19.5" customHeight="1" x14ac:dyDescent="0.2">
      <c r="A7" s="869" t="s">
        <v>612</v>
      </c>
      <c r="B7" s="869" t="s">
        <v>613</v>
      </c>
      <c r="C7" s="847" t="s">
        <v>1244</v>
      </c>
      <c r="D7" s="870"/>
      <c r="E7" s="848">
        <v>249</v>
      </c>
      <c r="F7" s="871">
        <f t="shared" si="0"/>
        <v>249</v>
      </c>
    </row>
    <row r="8" spans="1:6" ht="19.5" customHeight="1" x14ac:dyDescent="0.2">
      <c r="A8" s="864" t="s">
        <v>615</v>
      </c>
      <c r="B8" s="864" t="s">
        <v>615</v>
      </c>
      <c r="C8" s="843" t="s">
        <v>616</v>
      </c>
      <c r="D8" s="866"/>
      <c r="E8" s="844">
        <v>525</v>
      </c>
      <c r="F8" s="867">
        <f t="shared" si="0"/>
        <v>525</v>
      </c>
    </row>
    <row r="9" spans="1:6" ht="19.5" customHeight="1" x14ac:dyDescent="0.2">
      <c r="A9" s="864" t="s">
        <v>617</v>
      </c>
      <c r="B9" s="864">
        <v>389002</v>
      </c>
      <c r="C9" s="843" t="s">
        <v>618</v>
      </c>
      <c r="D9" s="866"/>
      <c r="E9" s="844">
        <v>389</v>
      </c>
      <c r="F9" s="867">
        <f t="shared" si="0"/>
        <v>389</v>
      </c>
    </row>
    <row r="10" spans="1:6" ht="19.5" customHeight="1" x14ac:dyDescent="0.2">
      <c r="A10" s="864" t="s">
        <v>619</v>
      </c>
      <c r="B10" s="864" t="s">
        <v>620</v>
      </c>
      <c r="C10" s="843" t="s">
        <v>1245</v>
      </c>
      <c r="D10" s="866"/>
      <c r="E10" s="844">
        <v>242</v>
      </c>
      <c r="F10" s="867">
        <f t="shared" si="0"/>
        <v>242</v>
      </c>
    </row>
    <row r="11" spans="1:6" ht="19.5" customHeight="1" thickBot="1" x14ac:dyDescent="0.25">
      <c r="A11" s="872"/>
      <c r="B11" s="872"/>
      <c r="C11" s="873"/>
      <c r="D11" s="874">
        <f>SUM(D4:D10)</f>
        <v>935</v>
      </c>
      <c r="E11" s="874">
        <f>SUM(E4:E10)</f>
        <v>1968</v>
      </c>
      <c r="F11" s="874">
        <f>SUM(F4:F10)</f>
        <v>2903</v>
      </c>
    </row>
    <row r="12" spans="1:6" ht="15.75" thickTop="1" x14ac:dyDescent="0.25"/>
    <row r="13" spans="1:6" ht="14.25" x14ac:dyDescent="0.2">
      <c r="A13" s="877"/>
      <c r="B13" s="877"/>
      <c r="C13" s="856"/>
      <c r="D13" s="858"/>
      <c r="E13" s="858"/>
      <c r="F13" s="858"/>
    </row>
  </sheetData>
  <sheetProtection password="D893" sheet="1" objects="1" scenarios="1" formatCells="0" formatColumns="0" formatRows="0"/>
  <mergeCells count="1">
    <mergeCell ref="A1:C1"/>
  </mergeCells>
  <printOptions horizontalCentered="1"/>
  <pageMargins left="0.5" right="0.5" top="1.25" bottom="0.5" header="0.3" footer="0.3"/>
  <pageSetup paperSize="5" orientation="portrait" r:id="rId1"/>
  <headerFooter>
    <oddHeader>&amp;L&amp;"Arial,Bold"&amp;14Table 8A: FY2021-22 Budget Letter&amp;K000000
February 1, 2021 Student Membership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E78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3" style="41" bestFit="1" customWidth="1"/>
    <col min="2" max="2" width="17.5703125" style="41" bestFit="1" customWidth="1"/>
    <col min="3" max="3" width="15.85546875" style="41" customWidth="1"/>
    <col min="4" max="37" width="15.28515625" style="41" customWidth="1"/>
    <col min="38" max="38" width="15.7109375" style="41" customWidth="1"/>
    <col min="39" max="39" width="16.42578125" style="41" customWidth="1"/>
    <col min="40" max="41" width="13.85546875" style="41" customWidth="1"/>
    <col min="42" max="44" width="15.5703125" style="41" customWidth="1"/>
    <col min="45" max="45" width="18" style="41" customWidth="1"/>
    <col min="46" max="49" width="17.7109375" style="41" customWidth="1"/>
    <col min="50" max="53" width="19.7109375" style="41" customWidth="1"/>
    <col min="54" max="56" width="17.5703125" style="41" customWidth="1"/>
    <col min="57" max="57" width="19.28515625" style="41" customWidth="1"/>
    <col min="58" max="16384" width="8.85546875" style="41"/>
  </cols>
  <sheetData>
    <row r="1" spans="1:57" s="16" customFormat="1" ht="30" customHeight="1" x14ac:dyDescent="0.2">
      <c r="A1" s="912" t="s">
        <v>12</v>
      </c>
      <c r="B1" s="912"/>
      <c r="C1" s="913" t="s">
        <v>13</v>
      </c>
      <c r="D1" s="914" t="s">
        <v>14</v>
      </c>
      <c r="E1" s="914"/>
      <c r="F1" s="914"/>
      <c r="G1" s="914"/>
      <c r="H1" s="914"/>
      <c r="I1" s="914" t="s">
        <v>14</v>
      </c>
      <c r="J1" s="914"/>
      <c r="K1" s="914"/>
      <c r="L1" s="914"/>
      <c r="M1" s="914"/>
      <c r="N1" s="914"/>
      <c r="O1" s="914" t="s">
        <v>14</v>
      </c>
      <c r="P1" s="914"/>
      <c r="Q1" s="914"/>
      <c r="R1" s="914"/>
      <c r="S1" s="914"/>
      <c r="T1" s="914"/>
      <c r="U1" s="914" t="s">
        <v>14</v>
      </c>
      <c r="V1" s="914"/>
      <c r="W1" s="914"/>
      <c r="X1" s="914"/>
      <c r="Y1" s="914"/>
      <c r="Z1" s="914"/>
      <c r="AA1" s="915" t="s">
        <v>14</v>
      </c>
      <c r="AB1" s="916"/>
      <c r="AC1" s="916"/>
      <c r="AD1" s="916"/>
      <c r="AE1" s="916"/>
      <c r="AF1" s="917"/>
      <c r="AG1" s="918" t="s">
        <v>14</v>
      </c>
      <c r="AH1" s="919"/>
      <c r="AI1" s="919"/>
      <c r="AJ1" s="920"/>
      <c r="AK1" s="913" t="s">
        <v>15</v>
      </c>
      <c r="AL1" s="913" t="s">
        <v>16</v>
      </c>
      <c r="AM1" s="921" t="s">
        <v>17</v>
      </c>
      <c r="AN1" s="921"/>
      <c r="AO1" s="921"/>
      <c r="AP1" s="911" t="s">
        <v>18</v>
      </c>
      <c r="AQ1" s="911"/>
      <c r="AR1" s="911"/>
      <c r="AS1" s="913" t="s">
        <v>19</v>
      </c>
      <c r="AT1" s="922" t="s">
        <v>20</v>
      </c>
      <c r="AU1" s="922"/>
      <c r="AV1" s="922"/>
      <c r="AW1" s="922"/>
      <c r="AX1" s="913" t="s">
        <v>21</v>
      </c>
      <c r="AY1" s="913" t="s">
        <v>22</v>
      </c>
      <c r="AZ1" s="913" t="s">
        <v>23</v>
      </c>
      <c r="BA1" s="913" t="s">
        <v>24</v>
      </c>
      <c r="BB1" s="922" t="s">
        <v>25</v>
      </c>
      <c r="BC1" s="922"/>
      <c r="BD1" s="922"/>
      <c r="BE1" s="913" t="s">
        <v>26</v>
      </c>
    </row>
    <row r="2" spans="1:57" s="16" customFormat="1" ht="103.5" customHeight="1" x14ac:dyDescent="0.2">
      <c r="A2" s="912"/>
      <c r="B2" s="912"/>
      <c r="C2" s="913"/>
      <c r="D2" s="17" t="s">
        <v>27</v>
      </c>
      <c r="E2" s="17" t="s">
        <v>28</v>
      </c>
      <c r="F2" s="17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37</v>
      </c>
      <c r="O2" s="17" t="s">
        <v>38</v>
      </c>
      <c r="P2" s="17" t="s">
        <v>39</v>
      </c>
      <c r="Q2" s="17" t="s">
        <v>40</v>
      </c>
      <c r="R2" s="17" t="s">
        <v>41</v>
      </c>
      <c r="S2" s="17" t="s">
        <v>42</v>
      </c>
      <c r="T2" s="17" t="s">
        <v>43</v>
      </c>
      <c r="U2" s="17" t="s">
        <v>44</v>
      </c>
      <c r="V2" s="17" t="s">
        <v>45</v>
      </c>
      <c r="W2" s="17" t="s">
        <v>46</v>
      </c>
      <c r="X2" s="17" t="s">
        <v>47</v>
      </c>
      <c r="Y2" s="17" t="s">
        <v>48</v>
      </c>
      <c r="Z2" s="17" t="s">
        <v>49</v>
      </c>
      <c r="AA2" s="17" t="s">
        <v>50</v>
      </c>
      <c r="AB2" s="17" t="s">
        <v>51</v>
      </c>
      <c r="AC2" s="17" t="s">
        <v>52</v>
      </c>
      <c r="AD2" s="17" t="s">
        <v>53</v>
      </c>
      <c r="AE2" s="17" t="s">
        <v>54</v>
      </c>
      <c r="AF2" s="17" t="s">
        <v>55</v>
      </c>
      <c r="AG2" s="17" t="s">
        <v>56</v>
      </c>
      <c r="AH2" s="17" t="s">
        <v>57</v>
      </c>
      <c r="AI2" s="17" t="s">
        <v>58</v>
      </c>
      <c r="AJ2" s="17" t="s">
        <v>59</v>
      </c>
      <c r="AK2" s="913"/>
      <c r="AL2" s="913"/>
      <c r="AM2" s="18" t="s">
        <v>60</v>
      </c>
      <c r="AN2" s="19" t="s">
        <v>61</v>
      </c>
      <c r="AO2" s="19" t="s">
        <v>62</v>
      </c>
      <c r="AP2" s="18" t="s">
        <v>63</v>
      </c>
      <c r="AQ2" s="18" t="s">
        <v>64</v>
      </c>
      <c r="AR2" s="18" t="s">
        <v>65</v>
      </c>
      <c r="AS2" s="913"/>
      <c r="AT2" s="20" t="s">
        <v>66</v>
      </c>
      <c r="AU2" s="20" t="s">
        <v>67</v>
      </c>
      <c r="AV2" s="20" t="s">
        <v>68</v>
      </c>
      <c r="AW2" s="20" t="s">
        <v>69</v>
      </c>
      <c r="AX2" s="913"/>
      <c r="AY2" s="913"/>
      <c r="AZ2" s="913"/>
      <c r="BA2" s="913"/>
      <c r="BB2" s="21" t="s">
        <v>70</v>
      </c>
      <c r="BC2" s="21" t="s">
        <v>71</v>
      </c>
      <c r="BD2" s="21" t="s">
        <v>72</v>
      </c>
      <c r="BE2" s="913"/>
    </row>
    <row r="3" spans="1:57" s="16" customFormat="1" ht="12.75" hidden="1" customHeight="1" x14ac:dyDescent="0.2">
      <c r="A3" s="22"/>
      <c r="B3" s="22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23"/>
      <c r="AN3" s="19"/>
      <c r="AO3" s="19"/>
      <c r="AP3" s="23"/>
      <c r="AQ3" s="23"/>
      <c r="AR3" s="23"/>
      <c r="AS3" s="17"/>
      <c r="AT3" s="24"/>
      <c r="AU3" s="24"/>
      <c r="AV3" s="24"/>
      <c r="AW3" s="24"/>
      <c r="AX3" s="17"/>
      <c r="AY3" s="17"/>
      <c r="AZ3" s="17"/>
      <c r="BA3" s="17"/>
      <c r="BB3" s="24"/>
      <c r="BC3" s="24"/>
      <c r="BD3" s="24"/>
      <c r="BE3" s="17"/>
    </row>
    <row r="4" spans="1:57" s="28" customFormat="1" x14ac:dyDescent="0.2">
      <c r="A4" s="25"/>
      <c r="B4" s="26"/>
      <c r="C4" s="27">
        <f t="shared" ref="C4:BE4" si="0">B4+1</f>
        <v>1</v>
      </c>
      <c r="D4" s="27">
        <f t="shared" si="0"/>
        <v>2</v>
      </c>
      <c r="E4" s="27">
        <f t="shared" si="0"/>
        <v>3</v>
      </c>
      <c r="F4" s="27">
        <f t="shared" si="0"/>
        <v>4</v>
      </c>
      <c r="G4" s="27">
        <f t="shared" si="0"/>
        <v>5</v>
      </c>
      <c r="H4" s="27">
        <f t="shared" si="0"/>
        <v>6</v>
      </c>
      <c r="I4" s="27">
        <f t="shared" si="0"/>
        <v>7</v>
      </c>
      <c r="J4" s="27">
        <f t="shared" si="0"/>
        <v>8</v>
      </c>
      <c r="K4" s="27">
        <f t="shared" si="0"/>
        <v>9</v>
      </c>
      <c r="L4" s="27">
        <f>K4+1</f>
        <v>10</v>
      </c>
      <c r="M4" s="27">
        <f t="shared" si="0"/>
        <v>11</v>
      </c>
      <c r="N4" s="27">
        <f t="shared" si="0"/>
        <v>12</v>
      </c>
      <c r="O4" s="27">
        <f t="shared" si="0"/>
        <v>13</v>
      </c>
      <c r="P4" s="27">
        <f t="shared" si="0"/>
        <v>14</v>
      </c>
      <c r="Q4" s="27">
        <f t="shared" si="0"/>
        <v>15</v>
      </c>
      <c r="R4" s="27">
        <f t="shared" si="0"/>
        <v>16</v>
      </c>
      <c r="S4" s="27">
        <f t="shared" si="0"/>
        <v>17</v>
      </c>
      <c r="T4" s="27">
        <f t="shared" si="0"/>
        <v>18</v>
      </c>
      <c r="U4" s="27">
        <f t="shared" si="0"/>
        <v>19</v>
      </c>
      <c r="V4" s="27">
        <f t="shared" si="0"/>
        <v>20</v>
      </c>
      <c r="W4" s="27">
        <f t="shared" si="0"/>
        <v>21</v>
      </c>
      <c r="X4" s="27">
        <f t="shared" si="0"/>
        <v>22</v>
      </c>
      <c r="Y4" s="27">
        <f t="shared" si="0"/>
        <v>23</v>
      </c>
      <c r="Z4" s="27">
        <f t="shared" si="0"/>
        <v>24</v>
      </c>
      <c r="AA4" s="27">
        <f t="shared" si="0"/>
        <v>25</v>
      </c>
      <c r="AB4" s="27">
        <f t="shared" si="0"/>
        <v>26</v>
      </c>
      <c r="AC4" s="27">
        <f t="shared" si="0"/>
        <v>27</v>
      </c>
      <c r="AD4" s="27">
        <f t="shared" si="0"/>
        <v>28</v>
      </c>
      <c r="AE4" s="27">
        <f t="shared" si="0"/>
        <v>29</v>
      </c>
      <c r="AF4" s="27">
        <f t="shared" si="0"/>
        <v>30</v>
      </c>
      <c r="AG4" s="27">
        <f t="shared" si="0"/>
        <v>31</v>
      </c>
      <c r="AH4" s="27">
        <f t="shared" si="0"/>
        <v>32</v>
      </c>
      <c r="AI4" s="27">
        <f t="shared" si="0"/>
        <v>33</v>
      </c>
      <c r="AJ4" s="27">
        <f t="shared" si="0"/>
        <v>34</v>
      </c>
      <c r="AK4" s="27">
        <f t="shared" si="0"/>
        <v>35</v>
      </c>
      <c r="AL4" s="27">
        <f t="shared" si="0"/>
        <v>36</v>
      </c>
      <c r="AM4" s="27">
        <f t="shared" si="0"/>
        <v>37</v>
      </c>
      <c r="AN4" s="27">
        <f t="shared" si="0"/>
        <v>38</v>
      </c>
      <c r="AO4" s="27">
        <f t="shared" si="0"/>
        <v>39</v>
      </c>
      <c r="AP4" s="27">
        <f t="shared" si="0"/>
        <v>40</v>
      </c>
      <c r="AQ4" s="27">
        <f t="shared" si="0"/>
        <v>41</v>
      </c>
      <c r="AR4" s="27">
        <f t="shared" si="0"/>
        <v>42</v>
      </c>
      <c r="AS4" s="27">
        <f t="shared" si="0"/>
        <v>43</v>
      </c>
      <c r="AT4" s="27">
        <f t="shared" si="0"/>
        <v>44</v>
      </c>
      <c r="AU4" s="27">
        <f t="shared" si="0"/>
        <v>45</v>
      </c>
      <c r="AV4" s="27">
        <f t="shared" si="0"/>
        <v>46</v>
      </c>
      <c r="AW4" s="27">
        <f t="shared" si="0"/>
        <v>47</v>
      </c>
      <c r="AX4" s="27">
        <f t="shared" si="0"/>
        <v>48</v>
      </c>
      <c r="AY4" s="27">
        <f t="shared" si="0"/>
        <v>49</v>
      </c>
      <c r="AZ4" s="27">
        <f t="shared" si="0"/>
        <v>50</v>
      </c>
      <c r="BA4" s="27">
        <f t="shared" si="0"/>
        <v>51</v>
      </c>
      <c r="BB4" s="27">
        <f t="shared" si="0"/>
        <v>52</v>
      </c>
      <c r="BC4" s="27">
        <f t="shared" si="0"/>
        <v>53</v>
      </c>
      <c r="BD4" s="27">
        <f t="shared" si="0"/>
        <v>54</v>
      </c>
      <c r="BE4" s="27">
        <f t="shared" si="0"/>
        <v>55</v>
      </c>
    </row>
    <row r="5" spans="1:57" s="28" customFormat="1" ht="25.5" hidden="1" x14ac:dyDescent="0.2">
      <c r="A5" s="25"/>
      <c r="B5" s="25"/>
      <c r="C5" s="29" t="s">
        <v>73</v>
      </c>
      <c r="D5" s="29" t="s">
        <v>73</v>
      </c>
      <c r="E5" s="29" t="s">
        <v>73</v>
      </c>
      <c r="F5" s="29" t="s">
        <v>73</v>
      </c>
      <c r="G5" s="29" t="s">
        <v>73</v>
      </c>
      <c r="H5" s="29" t="s">
        <v>73</v>
      </c>
      <c r="I5" s="29" t="s">
        <v>73</v>
      </c>
      <c r="J5" s="29" t="s">
        <v>73</v>
      </c>
      <c r="K5" s="29" t="s">
        <v>73</v>
      </c>
      <c r="L5" s="29" t="s">
        <v>73</v>
      </c>
      <c r="M5" s="29" t="s">
        <v>73</v>
      </c>
      <c r="N5" s="29" t="s">
        <v>73</v>
      </c>
      <c r="O5" s="29" t="s">
        <v>73</v>
      </c>
      <c r="P5" s="29" t="s">
        <v>73</v>
      </c>
      <c r="Q5" s="29" t="s">
        <v>73</v>
      </c>
      <c r="R5" s="29" t="s">
        <v>73</v>
      </c>
      <c r="S5" s="29" t="s">
        <v>73</v>
      </c>
      <c r="T5" s="29" t="s">
        <v>73</v>
      </c>
      <c r="U5" s="29" t="s">
        <v>73</v>
      </c>
      <c r="V5" s="29" t="s">
        <v>73</v>
      </c>
      <c r="W5" s="29" t="s">
        <v>73</v>
      </c>
      <c r="X5" s="29" t="s">
        <v>73</v>
      </c>
      <c r="Y5" s="29" t="s">
        <v>73</v>
      </c>
      <c r="Z5" s="29" t="s">
        <v>73</v>
      </c>
      <c r="AA5" s="29" t="s">
        <v>73</v>
      </c>
      <c r="AB5" s="29" t="s">
        <v>73</v>
      </c>
      <c r="AC5" s="29" t="s">
        <v>73</v>
      </c>
      <c r="AD5" s="29" t="s">
        <v>73</v>
      </c>
      <c r="AE5" s="29" t="s">
        <v>73</v>
      </c>
      <c r="AF5" s="29" t="s">
        <v>73</v>
      </c>
      <c r="AG5" s="29" t="s">
        <v>73</v>
      </c>
      <c r="AH5" s="29" t="s">
        <v>73</v>
      </c>
      <c r="AI5" s="29" t="s">
        <v>73</v>
      </c>
      <c r="AJ5" s="29" t="s">
        <v>74</v>
      </c>
      <c r="AK5" s="29" t="s">
        <v>74</v>
      </c>
      <c r="AL5" s="29" t="s">
        <v>74</v>
      </c>
      <c r="AM5" s="29" t="s">
        <v>75</v>
      </c>
      <c r="AN5" s="29" t="s">
        <v>74</v>
      </c>
      <c r="AO5" s="29" t="s">
        <v>74</v>
      </c>
      <c r="AP5" s="29" t="s">
        <v>75</v>
      </c>
      <c r="AQ5" s="29" t="s">
        <v>75</v>
      </c>
      <c r="AR5" s="29" t="s">
        <v>74</v>
      </c>
      <c r="AS5" s="29" t="s">
        <v>74</v>
      </c>
      <c r="AT5" s="29" t="s">
        <v>73</v>
      </c>
      <c r="AU5" s="29" t="s">
        <v>73</v>
      </c>
      <c r="AV5" s="29"/>
      <c r="AW5" s="29"/>
      <c r="AX5" s="29" t="s">
        <v>74</v>
      </c>
      <c r="AY5" s="29" t="s">
        <v>74</v>
      </c>
      <c r="AZ5" s="29" t="s">
        <v>74</v>
      </c>
      <c r="BA5" s="29" t="s">
        <v>74</v>
      </c>
      <c r="BB5" s="29" t="s">
        <v>73</v>
      </c>
      <c r="BC5" s="29" t="s">
        <v>73</v>
      </c>
      <c r="BD5" s="29" t="s">
        <v>73</v>
      </c>
      <c r="BE5" s="29" t="s">
        <v>74</v>
      </c>
    </row>
    <row r="6" spans="1:57" s="35" customFormat="1" ht="24" customHeight="1" x14ac:dyDescent="0.2">
      <c r="A6" s="30"/>
      <c r="B6" s="30"/>
      <c r="C6" s="31" t="s">
        <v>76</v>
      </c>
      <c r="D6" s="31" t="s">
        <v>77</v>
      </c>
      <c r="E6" s="32" t="s">
        <v>78</v>
      </c>
      <c r="F6" s="32" t="s">
        <v>79</v>
      </c>
      <c r="G6" s="32" t="s">
        <v>80</v>
      </c>
      <c r="H6" s="32" t="s">
        <v>81</v>
      </c>
      <c r="I6" s="32" t="s">
        <v>82</v>
      </c>
      <c r="J6" s="32" t="s">
        <v>83</v>
      </c>
      <c r="K6" s="32" t="s">
        <v>84</v>
      </c>
      <c r="L6" s="32" t="s">
        <v>85</v>
      </c>
      <c r="M6" s="32" t="s">
        <v>86</v>
      </c>
      <c r="N6" s="32" t="s">
        <v>87</v>
      </c>
      <c r="O6" s="32" t="s">
        <v>88</v>
      </c>
      <c r="P6" s="32" t="s">
        <v>89</v>
      </c>
      <c r="Q6" s="32" t="s">
        <v>90</v>
      </c>
      <c r="R6" s="32" t="s">
        <v>91</v>
      </c>
      <c r="S6" s="32" t="s">
        <v>92</v>
      </c>
      <c r="T6" s="32" t="s">
        <v>93</v>
      </c>
      <c r="U6" s="32" t="s">
        <v>94</v>
      </c>
      <c r="V6" s="32" t="s">
        <v>95</v>
      </c>
      <c r="W6" s="32" t="s">
        <v>96</v>
      </c>
      <c r="X6" s="32" t="s">
        <v>97</v>
      </c>
      <c r="Y6" s="32" t="s">
        <v>98</v>
      </c>
      <c r="Z6" s="32" t="s">
        <v>99</v>
      </c>
      <c r="AA6" s="32" t="s">
        <v>100</v>
      </c>
      <c r="AB6" s="32" t="s">
        <v>101</v>
      </c>
      <c r="AC6" s="32" t="s">
        <v>102</v>
      </c>
      <c r="AD6" s="32" t="s">
        <v>103</v>
      </c>
      <c r="AE6" s="32" t="s">
        <v>104</v>
      </c>
      <c r="AF6" s="32" t="s">
        <v>105</v>
      </c>
      <c r="AG6" s="32" t="s">
        <v>106</v>
      </c>
      <c r="AH6" s="32" t="s">
        <v>107</v>
      </c>
      <c r="AI6" s="32" t="s">
        <v>108</v>
      </c>
      <c r="AJ6" s="31" t="s">
        <v>109</v>
      </c>
      <c r="AK6" s="31" t="s">
        <v>110</v>
      </c>
      <c r="AL6" s="31" t="s">
        <v>111</v>
      </c>
      <c r="AM6" s="33" t="s">
        <v>112</v>
      </c>
      <c r="AN6" s="33" t="s">
        <v>113</v>
      </c>
      <c r="AO6" s="33" t="s">
        <v>114</v>
      </c>
      <c r="AP6" s="33" t="s">
        <v>115</v>
      </c>
      <c r="AQ6" s="33" t="s">
        <v>116</v>
      </c>
      <c r="AR6" s="31" t="s">
        <v>117</v>
      </c>
      <c r="AS6" s="31" t="s">
        <v>118</v>
      </c>
      <c r="AT6" s="31" t="s">
        <v>119</v>
      </c>
      <c r="AU6" s="31" t="s">
        <v>120</v>
      </c>
      <c r="AV6" s="31" t="s">
        <v>121</v>
      </c>
      <c r="AW6" s="31" t="s">
        <v>122</v>
      </c>
      <c r="AX6" s="31" t="s">
        <v>123</v>
      </c>
      <c r="AY6" s="34" t="s">
        <v>124</v>
      </c>
      <c r="AZ6" s="31" t="s">
        <v>125</v>
      </c>
      <c r="BA6" s="31" t="s">
        <v>126</v>
      </c>
      <c r="BB6" s="31" t="s">
        <v>127</v>
      </c>
      <c r="BC6" s="31" t="s">
        <v>128</v>
      </c>
      <c r="BD6" s="31" t="s">
        <v>129</v>
      </c>
      <c r="BE6" s="31" t="s">
        <v>130</v>
      </c>
    </row>
    <row r="7" spans="1:57" ht="15.6" customHeight="1" x14ac:dyDescent="0.2">
      <c r="A7" s="36">
        <v>1</v>
      </c>
      <c r="B7" s="37" t="s">
        <v>131</v>
      </c>
      <c r="C7" s="38">
        <f>'3_Levels 1&amp;2'!AP7</f>
        <v>55398838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-184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-35511</v>
      </c>
      <c r="W7" s="38">
        <v>-146708</v>
      </c>
      <c r="X7" s="38">
        <v>-42815</v>
      </c>
      <c r="Y7" s="38">
        <v>0</v>
      </c>
      <c r="Z7" s="38">
        <v>0</v>
      </c>
      <c r="AA7" s="38">
        <v>0</v>
      </c>
      <c r="AB7" s="38">
        <v>-15622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-155748</v>
      </c>
      <c r="AI7" s="38">
        <v>-185703</v>
      </c>
      <c r="AJ7" s="39">
        <f t="shared" ref="AJ7:AJ70" si="1">SUM(D7:AI7)</f>
        <v>-582291</v>
      </c>
      <c r="AK7" s="39">
        <f t="shared" ref="AK7:AK70" si="2">SUM(C7:AI7)</f>
        <v>54816547</v>
      </c>
      <c r="AL7" s="39">
        <f>ROUND(AK7/'8_2.1.21 SIS'!C7,0)</f>
        <v>5958</v>
      </c>
      <c r="AM7" s="40">
        <f>VLOOKUP($A7,[1]LEA_Summary!$A$7:$O$139,COLUMN([1]LEA_Summary!$I:$I),FALSE)</f>
        <v>-11538</v>
      </c>
      <c r="AN7" s="38">
        <f>IF(AM7&gt;0,AM7,0)</f>
        <v>0</v>
      </c>
      <c r="AO7" s="38">
        <f>IF(AM7&lt;0,AM7,0)</f>
        <v>-11538</v>
      </c>
      <c r="AP7" s="38"/>
      <c r="AQ7" s="38"/>
      <c r="AR7" s="40">
        <f>SUM(AP7:AQ7)</f>
        <v>0</v>
      </c>
      <c r="AS7" s="39">
        <f>AK7+AM7+AR7</f>
        <v>54805009</v>
      </c>
      <c r="AT7" s="38">
        <f>VLOOKUP($A7,'4_Level 4'!$A$7:$AP$139,COLUMN('4_Level 4'!$E:$E),FALSE)</f>
        <v>0</v>
      </c>
      <c r="AU7" s="38">
        <f>VLOOKUP($A7,'4_Level 4'!$A$7:$AP$139,COLUMN('4_Level 4'!$Q:$Q),FALSE)</f>
        <v>230926</v>
      </c>
      <c r="AV7" s="38">
        <f>VLOOKUP($A7,'4_Level 4'!$A$7:$AP$139,COLUMN('4_Level 4'!$AC:$AC),FALSE)</f>
        <v>1220473</v>
      </c>
      <c r="AW7" s="38">
        <f>VLOOKUP($A7,'4_Level 4'!$A$7:$AP$139,COLUMN('4_Level 4'!$AO:$AO),FALSE)</f>
        <v>976378</v>
      </c>
      <c r="AX7" s="39">
        <f t="shared" ref="AX7:AX70" si="3">ROUND(SUM(AS7:AW7),0)</f>
        <v>57232786</v>
      </c>
      <c r="AY7" s="38"/>
      <c r="AZ7" s="38">
        <f>AX7-AY7</f>
        <v>57232786</v>
      </c>
      <c r="BA7" s="38">
        <f t="shared" ref="BA7:BA38" si="4">ROUND(AZ7/$BA$77,0)</f>
        <v>4769399</v>
      </c>
      <c r="BB7" s="38">
        <f>VLOOKUP($A7,'4_Level 4'!$A$7:$AP$139,COLUMN('4_Level 4'!$J:$J),FALSE)</f>
        <v>0</v>
      </c>
      <c r="BC7" s="38">
        <f>VLOOKUP($A7,'4_Level 4'!$A$7:$AP$139,COLUMN('4_Level 4'!$L:$L),FALSE)</f>
        <v>190330</v>
      </c>
      <c r="BD7" s="38">
        <f>VLOOKUP($A7,'4_Level 4'!$A$7:$AP$139,COLUMN('4_Level 4'!$M:$M),FALSE)</f>
        <v>0</v>
      </c>
      <c r="BE7" s="39">
        <f>AX7+BB7+BC7+BD7</f>
        <v>57423116</v>
      </c>
    </row>
    <row r="8" spans="1:57" ht="15.6" customHeight="1" x14ac:dyDescent="0.2">
      <c r="A8" s="42">
        <v>2</v>
      </c>
      <c r="B8" s="43" t="s">
        <v>132</v>
      </c>
      <c r="C8" s="44">
        <f>'3_Levels 1&amp;2'!AP8</f>
        <v>29066732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-6616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-6379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-66044</v>
      </c>
      <c r="AI8" s="44">
        <v>-207418</v>
      </c>
      <c r="AJ8" s="45">
        <f t="shared" si="1"/>
        <v>-286457</v>
      </c>
      <c r="AK8" s="45">
        <f t="shared" si="2"/>
        <v>28780275</v>
      </c>
      <c r="AL8" s="45">
        <f>ROUND(AK8/'8_2.1.21 SIS'!C8,0)</f>
        <v>7489</v>
      </c>
      <c r="AM8" s="46">
        <f>VLOOKUP($A8,[1]LEA_Summary!$A$7:$O$139,COLUMN([1]LEA_Summary!$I:$I),FALSE)</f>
        <v>93870</v>
      </c>
      <c r="AN8" s="44">
        <f t="shared" ref="AN8:AN71" si="5">IF(AM8&gt;0,AM8,0)</f>
        <v>93870</v>
      </c>
      <c r="AO8" s="44">
        <f t="shared" ref="AO8:AO71" si="6">IF(AM8&lt;0,AM8,0)</f>
        <v>0</v>
      </c>
      <c r="AP8" s="44"/>
      <c r="AQ8" s="44"/>
      <c r="AR8" s="46">
        <f t="shared" ref="AR8:AR71" si="7">SUM(AP8:AQ8)</f>
        <v>0</v>
      </c>
      <c r="AS8" s="45">
        <f t="shared" ref="AS8:AS71" si="8">AK8+AM8+AR8</f>
        <v>28874145</v>
      </c>
      <c r="AT8" s="44">
        <f>VLOOKUP($A8,'4_Level 4'!$A$7:$AP$139,COLUMN('4_Level 4'!$E:$E),FALSE)</f>
        <v>0</v>
      </c>
      <c r="AU8" s="44">
        <f>VLOOKUP($A8,'4_Level 4'!$A$7:$AP$139,COLUMN('4_Level 4'!$Q:$Q),FALSE)</f>
        <v>105669</v>
      </c>
      <c r="AV8" s="44">
        <f>VLOOKUP($A8,'4_Level 4'!$A$7:$AP$139,COLUMN('4_Level 4'!$AC:$AC),FALSE)</f>
        <v>628235</v>
      </c>
      <c r="AW8" s="44">
        <f>VLOOKUP($A8,'4_Level 4'!$A$7:$AP$139,COLUMN('4_Level 4'!$AO:$AO),FALSE)</f>
        <v>502588</v>
      </c>
      <c r="AX8" s="45">
        <f t="shared" si="3"/>
        <v>30110637</v>
      </c>
      <c r="AY8" s="44"/>
      <c r="AZ8" s="44">
        <f t="shared" ref="AZ8:AZ71" si="9">AX8-AY8</f>
        <v>30110637</v>
      </c>
      <c r="BA8" s="44">
        <f t="shared" si="4"/>
        <v>2509220</v>
      </c>
      <c r="BB8" s="44">
        <f>VLOOKUP($A8,'4_Level 4'!$A$7:$AP$139,COLUMN('4_Level 4'!$J:$J),FALSE)</f>
        <v>0</v>
      </c>
      <c r="BC8" s="44">
        <f>VLOOKUP($A8,'4_Level 4'!$A$7:$AP$139,COLUMN('4_Level 4'!$L:$L),FALSE)</f>
        <v>63624</v>
      </c>
      <c r="BD8" s="44">
        <f>VLOOKUP($A8,'4_Level 4'!$A$7:$AP$139,COLUMN('4_Level 4'!$M:$M),FALSE)</f>
        <v>0</v>
      </c>
      <c r="BE8" s="45">
        <f t="shared" ref="BE8:BE71" si="10">AX8+BB8+BC8+BD8</f>
        <v>30174261</v>
      </c>
    </row>
    <row r="9" spans="1:57" ht="15.6" customHeight="1" x14ac:dyDescent="0.2">
      <c r="A9" s="42">
        <v>3</v>
      </c>
      <c r="B9" s="43" t="s">
        <v>133</v>
      </c>
      <c r="C9" s="44">
        <f>'3_Levels 1&amp;2'!AP9</f>
        <v>110486524</v>
      </c>
      <c r="D9" s="44">
        <v>0</v>
      </c>
      <c r="E9" s="44">
        <v>-13080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-108319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-96173</v>
      </c>
      <c r="T9" s="44">
        <v>0</v>
      </c>
      <c r="U9" s="44">
        <v>0</v>
      </c>
      <c r="V9" s="44">
        <v>-3994</v>
      </c>
      <c r="W9" s="44">
        <v>0</v>
      </c>
      <c r="X9" s="44">
        <v>0</v>
      </c>
      <c r="Y9" s="44">
        <v>-12942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-152713</v>
      </c>
      <c r="AI9" s="44">
        <v>-518866</v>
      </c>
      <c r="AJ9" s="45">
        <f t="shared" si="1"/>
        <v>-906087</v>
      </c>
      <c r="AK9" s="45">
        <f t="shared" si="2"/>
        <v>109580437</v>
      </c>
      <c r="AL9" s="45">
        <f>ROUND(AK9/'8_2.1.21 SIS'!C9,0)</f>
        <v>4802</v>
      </c>
      <c r="AM9" s="46">
        <f>VLOOKUP($A9,[1]LEA_Summary!$A$7:$O$139,COLUMN([1]LEA_Summary!$I:$I),FALSE)</f>
        <v>-300805</v>
      </c>
      <c r="AN9" s="44">
        <f t="shared" si="5"/>
        <v>0</v>
      </c>
      <c r="AO9" s="44">
        <f t="shared" si="6"/>
        <v>-300805</v>
      </c>
      <c r="AP9" s="44"/>
      <c r="AQ9" s="44"/>
      <c r="AR9" s="46">
        <f t="shared" si="7"/>
        <v>0</v>
      </c>
      <c r="AS9" s="45">
        <f t="shared" si="8"/>
        <v>109279632</v>
      </c>
      <c r="AT9" s="44">
        <f>VLOOKUP($A9,'4_Level 4'!$A$7:$AP$139,COLUMN('4_Level 4'!$E:$E),FALSE)</f>
        <v>0</v>
      </c>
      <c r="AU9" s="44">
        <f>VLOOKUP($A9,'4_Level 4'!$A$7:$AP$139,COLUMN('4_Level 4'!$Q:$Q),FALSE)</f>
        <v>622096</v>
      </c>
      <c r="AV9" s="44">
        <f>VLOOKUP($A9,'4_Level 4'!$A$7:$AP$139,COLUMN('4_Level 4'!$AC:$AC),FALSE)</f>
        <v>3087959</v>
      </c>
      <c r="AW9" s="44">
        <f>VLOOKUP($A9,'4_Level 4'!$A$7:$AP$139,COLUMN('4_Level 4'!$AO:$AO),FALSE)</f>
        <v>2470367</v>
      </c>
      <c r="AX9" s="45">
        <f t="shared" si="3"/>
        <v>115460054</v>
      </c>
      <c r="AY9" s="44"/>
      <c r="AZ9" s="44">
        <f t="shared" si="9"/>
        <v>115460054</v>
      </c>
      <c r="BA9" s="44">
        <f t="shared" si="4"/>
        <v>9621671</v>
      </c>
      <c r="BB9" s="44">
        <f>VLOOKUP($A9,'4_Level 4'!$A$7:$AP$139,COLUMN('4_Level 4'!$J:$J),FALSE)</f>
        <v>0</v>
      </c>
      <c r="BC9" s="44">
        <f>VLOOKUP($A9,'4_Level 4'!$A$7:$AP$139,COLUMN('4_Level 4'!$L:$L),FALSE)</f>
        <v>799096</v>
      </c>
      <c r="BD9" s="44">
        <f>VLOOKUP($A9,'4_Level 4'!$A$7:$AP$139,COLUMN('4_Level 4'!$M:$M),FALSE)</f>
        <v>0</v>
      </c>
      <c r="BE9" s="45">
        <f t="shared" si="10"/>
        <v>116259150</v>
      </c>
    </row>
    <row r="10" spans="1:57" ht="15.6" customHeight="1" x14ac:dyDescent="0.2">
      <c r="A10" s="42">
        <v>4</v>
      </c>
      <c r="B10" s="43" t="s">
        <v>134</v>
      </c>
      <c r="C10" s="44">
        <f>'3_Levels 1&amp;2'!AP10</f>
        <v>19809353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-48911</v>
      </c>
      <c r="T10" s="44">
        <v>0</v>
      </c>
      <c r="U10" s="44">
        <v>0</v>
      </c>
      <c r="V10" s="44">
        <v>-16405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-51948</v>
      </c>
      <c r="AI10" s="44">
        <v>-90996</v>
      </c>
      <c r="AJ10" s="45">
        <f t="shared" si="1"/>
        <v>-208260</v>
      </c>
      <c r="AK10" s="45">
        <f t="shared" si="2"/>
        <v>19601093</v>
      </c>
      <c r="AL10" s="45">
        <f>ROUND(AK10/'8_2.1.21 SIS'!C10,0)</f>
        <v>6704</v>
      </c>
      <c r="AM10" s="46">
        <f>VLOOKUP($A10,[1]LEA_Summary!$A$7:$O$139,COLUMN([1]LEA_Summary!$I:$I),FALSE)</f>
        <v>-4845</v>
      </c>
      <c r="AN10" s="44">
        <f t="shared" si="5"/>
        <v>0</v>
      </c>
      <c r="AO10" s="44">
        <f t="shared" si="6"/>
        <v>-4845</v>
      </c>
      <c r="AP10" s="44"/>
      <c r="AQ10" s="44"/>
      <c r="AR10" s="46">
        <f t="shared" si="7"/>
        <v>0</v>
      </c>
      <c r="AS10" s="45">
        <f t="shared" si="8"/>
        <v>19596248</v>
      </c>
      <c r="AT10" s="44">
        <f>VLOOKUP($A10,'4_Level 4'!$A$7:$AP$139,COLUMN('4_Level 4'!$E:$E),FALSE)</f>
        <v>21000</v>
      </c>
      <c r="AU10" s="44">
        <f>VLOOKUP($A10,'4_Level 4'!$A$7:$AP$139,COLUMN('4_Level 4'!$Q:$Q),FALSE)</f>
        <v>81302</v>
      </c>
      <c r="AV10" s="44">
        <f>VLOOKUP($A10,'4_Level 4'!$A$7:$AP$139,COLUMN('4_Level 4'!$AC:$AC),FALSE)</f>
        <v>441606</v>
      </c>
      <c r="AW10" s="44">
        <f>VLOOKUP($A10,'4_Level 4'!$A$7:$AP$139,COLUMN('4_Level 4'!$AO:$AO),FALSE)</f>
        <v>353285</v>
      </c>
      <c r="AX10" s="45">
        <f t="shared" si="3"/>
        <v>20493441</v>
      </c>
      <c r="AY10" s="44"/>
      <c r="AZ10" s="44">
        <f t="shared" si="9"/>
        <v>20493441</v>
      </c>
      <c r="BA10" s="44">
        <f t="shared" si="4"/>
        <v>1707787</v>
      </c>
      <c r="BB10" s="44">
        <f>VLOOKUP($A10,'4_Level 4'!$A$7:$AP$139,COLUMN('4_Level 4'!$J:$J),FALSE)</f>
        <v>0</v>
      </c>
      <c r="BC10" s="44">
        <f>VLOOKUP($A10,'4_Level 4'!$A$7:$AP$139,COLUMN('4_Level 4'!$L:$L),FALSE)</f>
        <v>41211</v>
      </c>
      <c r="BD10" s="44">
        <f>VLOOKUP($A10,'4_Level 4'!$A$7:$AP$139,COLUMN('4_Level 4'!$M:$M),FALSE)</f>
        <v>0</v>
      </c>
      <c r="BE10" s="45">
        <f t="shared" si="10"/>
        <v>20534652</v>
      </c>
    </row>
    <row r="11" spans="1:57" ht="15.6" customHeight="1" x14ac:dyDescent="0.2">
      <c r="A11" s="47">
        <v>5</v>
      </c>
      <c r="B11" s="48" t="s">
        <v>135</v>
      </c>
      <c r="C11" s="49">
        <f>'3_Levels 1&amp;2'!AP11</f>
        <v>32824014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-1543335</v>
      </c>
      <c r="AH11" s="49">
        <v>-132363</v>
      </c>
      <c r="AI11" s="49">
        <v>-226570</v>
      </c>
      <c r="AJ11" s="50">
        <f t="shared" si="1"/>
        <v>-1902268</v>
      </c>
      <c r="AK11" s="50">
        <f t="shared" si="2"/>
        <v>30921746</v>
      </c>
      <c r="AL11" s="50">
        <f>ROUND(AK11/'8_2.1.21 SIS'!C11,0)</f>
        <v>6321</v>
      </c>
      <c r="AM11" s="51">
        <f>VLOOKUP($A11,[1]LEA_Summary!$A$7:$O$139,COLUMN([1]LEA_Summary!$I:$I),FALSE)</f>
        <v>-16794</v>
      </c>
      <c r="AN11" s="49">
        <f t="shared" si="5"/>
        <v>0</v>
      </c>
      <c r="AO11" s="49">
        <f t="shared" si="6"/>
        <v>-16794</v>
      </c>
      <c r="AP11" s="49"/>
      <c r="AQ11" s="49"/>
      <c r="AR11" s="51">
        <f t="shared" si="7"/>
        <v>0</v>
      </c>
      <c r="AS11" s="50">
        <f t="shared" si="8"/>
        <v>30904952</v>
      </c>
      <c r="AT11" s="49">
        <f>VLOOKUP($A11,'4_Level 4'!$A$7:$AP$139,COLUMN('4_Level 4'!$E:$E),FALSE)</f>
        <v>0</v>
      </c>
      <c r="AU11" s="49">
        <f>VLOOKUP($A11,'4_Level 4'!$A$7:$AP$139,COLUMN('4_Level 4'!$Q:$Q),FALSE)</f>
        <v>131098</v>
      </c>
      <c r="AV11" s="49">
        <f>VLOOKUP($A11,'4_Level 4'!$A$7:$AP$139,COLUMN('4_Level 4'!$AC:$AC),FALSE)</f>
        <v>597880</v>
      </c>
      <c r="AW11" s="49">
        <f>VLOOKUP($A11,'4_Level 4'!$A$7:$AP$139,COLUMN('4_Level 4'!$AO:$AO),FALSE)</f>
        <v>478305</v>
      </c>
      <c r="AX11" s="50">
        <f t="shared" si="3"/>
        <v>32112235</v>
      </c>
      <c r="AY11" s="49"/>
      <c r="AZ11" s="49">
        <f t="shared" si="9"/>
        <v>32112235</v>
      </c>
      <c r="BA11" s="49">
        <f t="shared" si="4"/>
        <v>2676020</v>
      </c>
      <c r="BB11" s="49">
        <f>VLOOKUP($A11,'4_Level 4'!$A$7:$AP$139,COLUMN('4_Level 4'!$J:$J),FALSE)</f>
        <v>0</v>
      </c>
      <c r="BC11" s="49">
        <f>VLOOKUP($A11,'4_Level 4'!$A$7:$AP$139,COLUMN('4_Level 4'!$L:$L),FALSE)</f>
        <v>152372</v>
      </c>
      <c r="BD11" s="49">
        <f>VLOOKUP($A11,'4_Level 4'!$A$7:$AP$139,COLUMN('4_Level 4'!$M:$M),FALSE)</f>
        <v>0</v>
      </c>
      <c r="BE11" s="50">
        <f t="shared" si="10"/>
        <v>32264607</v>
      </c>
    </row>
    <row r="12" spans="1:57" ht="15.6" customHeight="1" x14ac:dyDescent="0.2">
      <c r="A12" s="36">
        <v>6</v>
      </c>
      <c r="B12" s="37" t="s">
        <v>136</v>
      </c>
      <c r="C12" s="38">
        <f>'3_Levels 1&amp;2'!AP12</f>
        <v>34940634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-10999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-103686</v>
      </c>
      <c r="AI12" s="38">
        <v>-69620</v>
      </c>
      <c r="AJ12" s="39">
        <f t="shared" si="1"/>
        <v>-184305</v>
      </c>
      <c r="AK12" s="39">
        <f t="shared" si="2"/>
        <v>34756329</v>
      </c>
      <c r="AL12" s="39">
        <f>ROUND(AK12/'8_2.1.21 SIS'!C12,0)</f>
        <v>6206</v>
      </c>
      <c r="AM12" s="40">
        <f>VLOOKUP($A12,[1]LEA_Summary!$A$7:$O$139,COLUMN([1]LEA_Summary!$I:$I),FALSE)</f>
        <v>6031</v>
      </c>
      <c r="AN12" s="38">
        <f t="shared" si="5"/>
        <v>6031</v>
      </c>
      <c r="AO12" s="38">
        <f t="shared" si="6"/>
        <v>0</v>
      </c>
      <c r="AP12" s="38"/>
      <c r="AQ12" s="38"/>
      <c r="AR12" s="40">
        <f t="shared" si="7"/>
        <v>0</v>
      </c>
      <c r="AS12" s="39">
        <f t="shared" si="8"/>
        <v>34762360</v>
      </c>
      <c r="AT12" s="38">
        <f>VLOOKUP($A12,'4_Level 4'!$A$7:$AP$139,COLUMN('4_Level 4'!$E:$E),FALSE)</f>
        <v>0</v>
      </c>
      <c r="AU12" s="38">
        <f>VLOOKUP($A12,'4_Level 4'!$A$7:$AP$139,COLUMN('4_Level 4'!$Q:$Q),FALSE)</f>
        <v>148149</v>
      </c>
      <c r="AV12" s="38">
        <f>VLOOKUP($A12,'4_Level 4'!$A$7:$AP$139,COLUMN('4_Level 4'!$AC:$AC),FALSE)</f>
        <v>794545</v>
      </c>
      <c r="AW12" s="38">
        <f>VLOOKUP($A12,'4_Level 4'!$A$7:$AP$139,COLUMN('4_Level 4'!$AO:$AO),FALSE)</f>
        <v>635636</v>
      </c>
      <c r="AX12" s="39">
        <f t="shared" si="3"/>
        <v>36340690</v>
      </c>
      <c r="AY12" s="38"/>
      <c r="AZ12" s="38">
        <f t="shared" si="9"/>
        <v>36340690</v>
      </c>
      <c r="BA12" s="38">
        <f t="shared" si="4"/>
        <v>3028391</v>
      </c>
      <c r="BB12" s="38">
        <f>VLOOKUP($A12,'4_Level 4'!$A$7:$AP$139,COLUMN('4_Level 4'!$J:$J),FALSE)</f>
        <v>0</v>
      </c>
      <c r="BC12" s="38">
        <f>VLOOKUP($A12,'4_Level 4'!$A$7:$AP$139,COLUMN('4_Level 4'!$L:$L),FALSE)</f>
        <v>73385</v>
      </c>
      <c r="BD12" s="38">
        <f>VLOOKUP($A12,'4_Level 4'!$A$7:$AP$139,COLUMN('4_Level 4'!$M:$M),FALSE)</f>
        <v>0</v>
      </c>
      <c r="BE12" s="39">
        <f t="shared" si="10"/>
        <v>36414075</v>
      </c>
    </row>
    <row r="13" spans="1:57" ht="15.6" customHeight="1" x14ac:dyDescent="0.2">
      <c r="A13" s="42">
        <v>7</v>
      </c>
      <c r="B13" s="43" t="s">
        <v>137</v>
      </c>
      <c r="C13" s="44">
        <f>'3_Levels 1&amp;2'!AP13</f>
        <v>8028977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-112643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-20349</v>
      </c>
      <c r="AI13" s="44">
        <v>-34118</v>
      </c>
      <c r="AJ13" s="45">
        <f t="shared" si="1"/>
        <v>-167110</v>
      </c>
      <c r="AK13" s="45">
        <f t="shared" si="2"/>
        <v>7861867</v>
      </c>
      <c r="AL13" s="45">
        <f>ROUND(AK13/'8_2.1.21 SIS'!C13,0)</f>
        <v>4080</v>
      </c>
      <c r="AM13" s="46">
        <f>VLOOKUP($A13,[1]LEA_Summary!$A$7:$O$139,COLUMN([1]LEA_Summary!$I:$I),FALSE)</f>
        <v>-10231</v>
      </c>
      <c r="AN13" s="44">
        <f t="shared" si="5"/>
        <v>0</v>
      </c>
      <c r="AO13" s="44">
        <f t="shared" si="6"/>
        <v>-10231</v>
      </c>
      <c r="AP13" s="44"/>
      <c r="AQ13" s="44"/>
      <c r="AR13" s="46">
        <f t="shared" si="7"/>
        <v>0</v>
      </c>
      <c r="AS13" s="45">
        <f t="shared" si="8"/>
        <v>7851636</v>
      </c>
      <c r="AT13" s="44">
        <f>VLOOKUP($A13,'4_Level 4'!$A$7:$AP$139,COLUMN('4_Level 4'!$E:$E),FALSE)</f>
        <v>0</v>
      </c>
      <c r="AU13" s="44">
        <f>VLOOKUP($A13,'4_Level 4'!$A$7:$AP$139,COLUMN('4_Level 4'!$Q:$Q),FALSE)</f>
        <v>53690</v>
      </c>
      <c r="AV13" s="44">
        <f>VLOOKUP($A13,'4_Level 4'!$A$7:$AP$139,COLUMN('4_Level 4'!$AC:$AC),FALSE)</f>
        <v>394734</v>
      </c>
      <c r="AW13" s="44">
        <f>VLOOKUP($A13,'4_Level 4'!$A$7:$AP$139,COLUMN('4_Level 4'!$AO:$AO),FALSE)</f>
        <v>315787</v>
      </c>
      <c r="AX13" s="45">
        <f t="shared" si="3"/>
        <v>8615847</v>
      </c>
      <c r="AY13" s="44"/>
      <c r="AZ13" s="44">
        <f t="shared" si="9"/>
        <v>8615847</v>
      </c>
      <c r="BA13" s="44">
        <f t="shared" si="4"/>
        <v>717987</v>
      </c>
      <c r="BB13" s="44">
        <f>VLOOKUP($A13,'4_Level 4'!$A$7:$AP$139,COLUMN('4_Level 4'!$J:$J),FALSE)</f>
        <v>0</v>
      </c>
      <c r="BC13" s="44">
        <f>VLOOKUP($A13,'4_Level 4'!$A$7:$AP$139,COLUMN('4_Level 4'!$L:$L),FALSE)</f>
        <v>33077</v>
      </c>
      <c r="BD13" s="44">
        <f>VLOOKUP($A13,'4_Level 4'!$A$7:$AP$139,COLUMN('4_Level 4'!$M:$M),FALSE)</f>
        <v>0</v>
      </c>
      <c r="BE13" s="45">
        <f t="shared" si="10"/>
        <v>8648924</v>
      </c>
    </row>
    <row r="14" spans="1:57" ht="15.6" customHeight="1" x14ac:dyDescent="0.2">
      <c r="A14" s="42">
        <v>8</v>
      </c>
      <c r="B14" s="43" t="s">
        <v>138</v>
      </c>
      <c r="C14" s="44">
        <f>'3_Levels 1&amp;2'!AP14</f>
        <v>129442221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-446840</v>
      </c>
      <c r="AI14" s="44">
        <v>-265087</v>
      </c>
      <c r="AJ14" s="45">
        <f t="shared" si="1"/>
        <v>-711927</v>
      </c>
      <c r="AK14" s="45">
        <f t="shared" si="2"/>
        <v>128730294</v>
      </c>
      <c r="AL14" s="45">
        <f>ROUND(AK14/'8_2.1.21 SIS'!C14,0)</f>
        <v>5867</v>
      </c>
      <c r="AM14" s="46">
        <f>VLOOKUP($A14,[1]LEA_Summary!$A$7:$O$139,COLUMN([1]LEA_Summary!$I:$I),FALSE)</f>
        <v>-58024</v>
      </c>
      <c r="AN14" s="44">
        <f t="shared" si="5"/>
        <v>0</v>
      </c>
      <c r="AO14" s="44">
        <f t="shared" si="6"/>
        <v>-58024</v>
      </c>
      <c r="AP14" s="44"/>
      <c r="AQ14" s="44"/>
      <c r="AR14" s="46">
        <f t="shared" si="7"/>
        <v>0</v>
      </c>
      <c r="AS14" s="45">
        <f t="shared" si="8"/>
        <v>128672270</v>
      </c>
      <c r="AT14" s="44">
        <f>VLOOKUP($A14,'4_Level 4'!$A$7:$AP$139,COLUMN('4_Level 4'!$E:$E),FALSE)</f>
        <v>105000</v>
      </c>
      <c r="AU14" s="44">
        <f>VLOOKUP($A14,'4_Level 4'!$A$7:$AP$139,COLUMN('4_Level 4'!$Q:$Q),FALSE)</f>
        <v>577256</v>
      </c>
      <c r="AV14" s="44">
        <f>VLOOKUP($A14,'4_Level 4'!$A$7:$AP$139,COLUMN('4_Level 4'!$AC:$AC),FALSE)</f>
        <v>3211551</v>
      </c>
      <c r="AW14" s="44">
        <f>VLOOKUP($A14,'4_Level 4'!$A$7:$AP$139,COLUMN('4_Level 4'!$AO:$AO),FALSE)</f>
        <v>2569241</v>
      </c>
      <c r="AX14" s="45">
        <f t="shared" si="3"/>
        <v>135135318</v>
      </c>
      <c r="AY14" s="44"/>
      <c r="AZ14" s="44">
        <f t="shared" si="9"/>
        <v>135135318</v>
      </c>
      <c r="BA14" s="44">
        <f t="shared" si="4"/>
        <v>11261277</v>
      </c>
      <c r="BB14" s="44">
        <f>VLOOKUP($A14,'4_Level 4'!$A$7:$AP$139,COLUMN('4_Level 4'!$J:$J),FALSE)</f>
        <v>0</v>
      </c>
      <c r="BC14" s="44">
        <f>VLOOKUP($A14,'4_Level 4'!$A$7:$AP$139,COLUMN('4_Level 4'!$L:$L),FALSE)</f>
        <v>222865</v>
      </c>
      <c r="BD14" s="44">
        <f>VLOOKUP($A14,'4_Level 4'!$A$7:$AP$139,COLUMN('4_Level 4'!$M:$M),FALSE)</f>
        <v>0</v>
      </c>
      <c r="BE14" s="45">
        <f t="shared" si="10"/>
        <v>135358183</v>
      </c>
    </row>
    <row r="15" spans="1:57" ht="15.6" customHeight="1" x14ac:dyDescent="0.2">
      <c r="A15" s="42">
        <v>9</v>
      </c>
      <c r="B15" s="43" t="s">
        <v>139</v>
      </c>
      <c r="C15" s="44">
        <f>'3_Levels 1&amp;2'!AP15</f>
        <v>202176458</v>
      </c>
      <c r="D15" s="44">
        <f>-'5B2_RSD LA'!I7</f>
        <v>-5163621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-730029</v>
      </c>
      <c r="AI15" s="44">
        <v>-531502</v>
      </c>
      <c r="AJ15" s="45">
        <f t="shared" si="1"/>
        <v>-6425152</v>
      </c>
      <c r="AK15" s="45">
        <f t="shared" si="2"/>
        <v>195751306</v>
      </c>
      <c r="AL15" s="45">
        <f>ROUND(AK15/'8_2.1.21 SIS'!C15,0)</f>
        <v>5522</v>
      </c>
      <c r="AM15" s="46">
        <f>VLOOKUP($A15,[1]LEA_Summary!$A$7:$O$139,COLUMN([1]LEA_Summary!$I:$I),FALSE)</f>
        <v>-119535</v>
      </c>
      <c r="AN15" s="44">
        <f t="shared" si="5"/>
        <v>0</v>
      </c>
      <c r="AO15" s="44">
        <f t="shared" si="6"/>
        <v>-119535</v>
      </c>
      <c r="AP15" s="44"/>
      <c r="AQ15" s="44"/>
      <c r="AR15" s="46">
        <f t="shared" si="7"/>
        <v>0</v>
      </c>
      <c r="AS15" s="45">
        <f t="shared" si="8"/>
        <v>195631771</v>
      </c>
      <c r="AT15" s="44">
        <f>VLOOKUP($A15,'4_Level 4'!$A$7:$AP$139,COLUMN('4_Level 4'!$E:$E),FALSE)</f>
        <v>210000</v>
      </c>
      <c r="AU15" s="44">
        <f>VLOOKUP($A15,'4_Level 4'!$A$7:$AP$139,COLUMN('4_Level 4'!$Q:$Q),FALSE)</f>
        <v>965712</v>
      </c>
      <c r="AV15" s="44">
        <f>VLOOKUP($A15,'4_Level 4'!$A$7:$AP$139,COLUMN('4_Level 4'!$AC:$AC),FALSE)</f>
        <v>4824381</v>
      </c>
      <c r="AW15" s="44">
        <f>VLOOKUP($A15,'4_Level 4'!$A$7:$AP$139,COLUMN('4_Level 4'!$AO:$AO),FALSE)</f>
        <v>3859506</v>
      </c>
      <c r="AX15" s="45">
        <f t="shared" si="3"/>
        <v>205491370</v>
      </c>
      <c r="AY15" s="44"/>
      <c r="AZ15" s="44">
        <f t="shared" si="9"/>
        <v>205491370</v>
      </c>
      <c r="BA15" s="44">
        <f t="shared" si="4"/>
        <v>17124281</v>
      </c>
      <c r="BB15" s="44">
        <f>VLOOKUP($A15,'4_Level 4'!$A$7:$AP$139,COLUMN('4_Level 4'!$J:$J),FALSE)</f>
        <v>0</v>
      </c>
      <c r="BC15" s="44">
        <f>VLOOKUP($A15,'4_Level 4'!$A$7:$AP$139,COLUMN('4_Level 4'!$L:$L),FALSE)</f>
        <v>742340</v>
      </c>
      <c r="BD15" s="44">
        <f>VLOOKUP($A15,'4_Level 4'!$A$7:$AP$139,COLUMN('4_Level 4'!$M:$M),FALSE)</f>
        <v>0</v>
      </c>
      <c r="BE15" s="45">
        <f t="shared" si="10"/>
        <v>206233710</v>
      </c>
    </row>
    <row r="16" spans="1:57" ht="15.6" customHeight="1" x14ac:dyDescent="0.2">
      <c r="A16" s="47">
        <v>10</v>
      </c>
      <c r="B16" s="48" t="s">
        <v>140</v>
      </c>
      <c r="C16" s="49">
        <f>'3_Levels 1&amp;2'!AP16</f>
        <v>122671814</v>
      </c>
      <c r="D16" s="49">
        <v>0</v>
      </c>
      <c r="E16" s="49">
        <v>0</v>
      </c>
      <c r="F16" s="49">
        <v>-3759</v>
      </c>
      <c r="G16" s="49">
        <v>0</v>
      </c>
      <c r="H16" s="49">
        <v>0</v>
      </c>
      <c r="I16" s="49">
        <v>0</v>
      </c>
      <c r="J16" s="49">
        <v>-3401156</v>
      </c>
      <c r="K16" s="49">
        <v>0</v>
      </c>
      <c r="L16" s="49">
        <v>-2353364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-6953</v>
      </c>
      <c r="T16" s="49">
        <v>-2164547</v>
      </c>
      <c r="U16" s="49">
        <v>0</v>
      </c>
      <c r="V16" s="49">
        <v>0</v>
      </c>
      <c r="W16" s="49">
        <v>-3759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-233006</v>
      </c>
      <c r="AI16" s="49">
        <v>-341124</v>
      </c>
      <c r="AJ16" s="50">
        <f t="shared" si="1"/>
        <v>-8507668</v>
      </c>
      <c r="AK16" s="50">
        <f t="shared" si="2"/>
        <v>114164146</v>
      </c>
      <c r="AL16" s="50">
        <f>ROUND(AK16/'8_2.1.21 SIS'!C16,0)</f>
        <v>4266</v>
      </c>
      <c r="AM16" s="51">
        <f>VLOOKUP($A16,[1]LEA_Summary!$A$7:$O$139,COLUMN([1]LEA_Summary!$I:$I),FALSE)</f>
        <v>-47479</v>
      </c>
      <c r="AN16" s="49">
        <f t="shared" si="5"/>
        <v>0</v>
      </c>
      <c r="AO16" s="49">
        <f t="shared" si="6"/>
        <v>-47479</v>
      </c>
      <c r="AP16" s="49"/>
      <c r="AQ16" s="49"/>
      <c r="AR16" s="51">
        <f t="shared" si="7"/>
        <v>0</v>
      </c>
      <c r="AS16" s="50">
        <f t="shared" si="8"/>
        <v>114116667</v>
      </c>
      <c r="AT16" s="49">
        <f>VLOOKUP($A16,'4_Level 4'!$A$7:$AP$139,COLUMN('4_Level 4'!$E:$E),FALSE)</f>
        <v>609000</v>
      </c>
      <c r="AU16" s="49">
        <f>VLOOKUP($A16,'4_Level 4'!$A$7:$AP$139,COLUMN('4_Level 4'!$Q:$Q),FALSE)</f>
        <v>726998</v>
      </c>
      <c r="AV16" s="49">
        <f>VLOOKUP($A16,'4_Level 4'!$A$7:$AP$139,COLUMN('4_Level 4'!$AC:$AC),FALSE)</f>
        <v>4875164</v>
      </c>
      <c r="AW16" s="49">
        <f>VLOOKUP($A16,'4_Level 4'!$A$7:$AP$139,COLUMN('4_Level 4'!$AO:$AO),FALSE)</f>
        <v>3900131</v>
      </c>
      <c r="AX16" s="50">
        <f t="shared" si="3"/>
        <v>124227960</v>
      </c>
      <c r="AY16" s="49"/>
      <c r="AZ16" s="49">
        <f t="shared" si="9"/>
        <v>124227960</v>
      </c>
      <c r="BA16" s="49">
        <f t="shared" si="4"/>
        <v>10352330</v>
      </c>
      <c r="BB16" s="49">
        <f>VLOOKUP($A16,'4_Level 4'!$A$7:$AP$139,COLUMN('4_Level 4'!$J:$J),FALSE)</f>
        <v>0</v>
      </c>
      <c r="BC16" s="49">
        <f>VLOOKUP($A16,'4_Level 4'!$A$7:$AP$139,COLUMN('4_Level 4'!$L:$L),FALSE)</f>
        <v>483687</v>
      </c>
      <c r="BD16" s="49">
        <f>VLOOKUP($A16,'4_Level 4'!$A$7:$AP$139,COLUMN('4_Level 4'!$M:$M),FALSE)</f>
        <v>0</v>
      </c>
      <c r="BE16" s="50">
        <f t="shared" si="10"/>
        <v>124711647</v>
      </c>
    </row>
    <row r="17" spans="1:57" ht="15.6" customHeight="1" x14ac:dyDescent="0.2">
      <c r="A17" s="36">
        <v>11</v>
      </c>
      <c r="B17" s="37" t="s">
        <v>141</v>
      </c>
      <c r="C17" s="38">
        <f>'3_Levels 1&amp;2'!AP17</f>
        <v>11786119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-80357</v>
      </c>
      <c r="AJ17" s="39">
        <f t="shared" si="1"/>
        <v>-80357</v>
      </c>
      <c r="AK17" s="39">
        <f t="shared" si="2"/>
        <v>11705762</v>
      </c>
      <c r="AL17" s="39">
        <f>ROUND(AK17/'8_2.1.21 SIS'!C17,0)</f>
        <v>7883</v>
      </c>
      <c r="AM17" s="40">
        <f>VLOOKUP($A17,[1]LEA_Summary!$A$7:$O$139,COLUMN([1]LEA_Summary!$I:$I),FALSE)</f>
        <v>-10712</v>
      </c>
      <c r="AN17" s="38">
        <f t="shared" si="5"/>
        <v>0</v>
      </c>
      <c r="AO17" s="38">
        <f t="shared" si="6"/>
        <v>-10712</v>
      </c>
      <c r="AP17" s="38"/>
      <c r="AQ17" s="38"/>
      <c r="AR17" s="40">
        <f t="shared" si="7"/>
        <v>0</v>
      </c>
      <c r="AS17" s="39">
        <f t="shared" si="8"/>
        <v>11695050</v>
      </c>
      <c r="AT17" s="38">
        <f>VLOOKUP($A17,'4_Level 4'!$A$7:$AP$139,COLUMN('4_Level 4'!$E:$E),FALSE)</f>
        <v>0</v>
      </c>
      <c r="AU17" s="38">
        <f>VLOOKUP($A17,'4_Level 4'!$A$7:$AP$139,COLUMN('4_Level 4'!$Q:$Q),FALSE)</f>
        <v>39884</v>
      </c>
      <c r="AV17" s="38">
        <f>VLOOKUP($A17,'4_Level 4'!$A$7:$AP$139,COLUMN('4_Level 4'!$AC:$AC),FALSE)</f>
        <v>267709</v>
      </c>
      <c r="AW17" s="38">
        <f>VLOOKUP($A17,'4_Level 4'!$A$7:$AP$139,COLUMN('4_Level 4'!$AO:$AO),FALSE)</f>
        <v>214167</v>
      </c>
      <c r="AX17" s="39">
        <f t="shared" si="3"/>
        <v>12216810</v>
      </c>
      <c r="AY17" s="38"/>
      <c r="AZ17" s="38">
        <f t="shared" si="9"/>
        <v>12216810</v>
      </c>
      <c r="BA17" s="38">
        <f t="shared" si="4"/>
        <v>1018068</v>
      </c>
      <c r="BB17" s="38">
        <f>VLOOKUP($A17,'4_Level 4'!$A$7:$AP$139,COLUMN('4_Level 4'!$J:$J),FALSE)</f>
        <v>0</v>
      </c>
      <c r="BC17" s="38">
        <f>VLOOKUP($A17,'4_Level 4'!$A$7:$AP$139,COLUMN('4_Level 4'!$L:$L),FALSE)</f>
        <v>53864</v>
      </c>
      <c r="BD17" s="38">
        <f>VLOOKUP($A17,'4_Level 4'!$A$7:$AP$139,COLUMN('4_Level 4'!$M:$M),FALSE)</f>
        <v>0</v>
      </c>
      <c r="BE17" s="39">
        <f t="shared" si="10"/>
        <v>12270674</v>
      </c>
    </row>
    <row r="18" spans="1:57" ht="15.6" customHeight="1" x14ac:dyDescent="0.2">
      <c r="A18" s="42">
        <v>12</v>
      </c>
      <c r="B18" s="43" t="s">
        <v>142</v>
      </c>
      <c r="C18" s="44">
        <f>'3_Levels 1&amp;2'!AP18</f>
        <v>3319623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-2580</v>
      </c>
      <c r="AJ18" s="45">
        <f t="shared" si="1"/>
        <v>-2580</v>
      </c>
      <c r="AK18" s="45">
        <f t="shared" si="2"/>
        <v>3317043</v>
      </c>
      <c r="AL18" s="45">
        <f>ROUND(AK18/'8_2.1.21 SIS'!C18,0)</f>
        <v>2935</v>
      </c>
      <c r="AM18" s="46">
        <f>VLOOKUP($A18,[1]LEA_Summary!$A$7:$O$139,COLUMN([1]LEA_Summary!$I:$I),FALSE)</f>
        <v>30366</v>
      </c>
      <c r="AN18" s="44">
        <f t="shared" si="5"/>
        <v>30366</v>
      </c>
      <c r="AO18" s="44">
        <f t="shared" si="6"/>
        <v>0</v>
      </c>
      <c r="AP18" s="44"/>
      <c r="AQ18" s="44"/>
      <c r="AR18" s="46">
        <f t="shared" si="7"/>
        <v>0</v>
      </c>
      <c r="AS18" s="45">
        <f t="shared" si="8"/>
        <v>3347409</v>
      </c>
      <c r="AT18" s="44">
        <f>VLOOKUP($A18,'4_Level 4'!$A$7:$AP$139,COLUMN('4_Level 4'!$E:$E),FALSE)</f>
        <v>0</v>
      </c>
      <c r="AU18" s="44">
        <f>VLOOKUP($A18,'4_Level 4'!$A$7:$AP$139,COLUMN('4_Level 4'!$Q:$Q),FALSE)</f>
        <v>31211</v>
      </c>
      <c r="AV18" s="44">
        <f>VLOOKUP($A18,'4_Level 4'!$A$7:$AP$139,COLUMN('4_Level 4'!$AC:$AC),FALSE)</f>
        <v>269092</v>
      </c>
      <c r="AW18" s="44">
        <f>VLOOKUP($A18,'4_Level 4'!$A$7:$AP$139,COLUMN('4_Level 4'!$AO:$AO),FALSE)</f>
        <v>215274</v>
      </c>
      <c r="AX18" s="45">
        <f t="shared" si="3"/>
        <v>3862986</v>
      </c>
      <c r="AY18" s="44"/>
      <c r="AZ18" s="44">
        <f t="shared" si="9"/>
        <v>3862986</v>
      </c>
      <c r="BA18" s="44">
        <f t="shared" si="4"/>
        <v>321916</v>
      </c>
      <c r="BB18" s="44">
        <f>VLOOKUP($A18,'4_Level 4'!$A$7:$AP$139,COLUMN('4_Level 4'!$J:$J),FALSE)</f>
        <v>0</v>
      </c>
      <c r="BC18" s="44">
        <f>VLOOKUP($A18,'4_Level 4'!$A$7:$AP$139,COLUMN('4_Level 4'!$L:$L),FALSE)</f>
        <v>25000</v>
      </c>
      <c r="BD18" s="44">
        <f>VLOOKUP($A18,'4_Level 4'!$A$7:$AP$139,COLUMN('4_Level 4'!$M:$M),FALSE)</f>
        <v>0</v>
      </c>
      <c r="BE18" s="45">
        <f t="shared" si="10"/>
        <v>3887986</v>
      </c>
    </row>
    <row r="19" spans="1:57" ht="15.6" customHeight="1" x14ac:dyDescent="0.2">
      <c r="A19" s="42">
        <v>13</v>
      </c>
      <c r="B19" s="43" t="s">
        <v>143</v>
      </c>
      <c r="C19" s="44">
        <f>'3_Levels 1&amp;2'!AP19</f>
        <v>8980047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-594566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-43650</v>
      </c>
      <c r="AI19" s="44">
        <v>-67759</v>
      </c>
      <c r="AJ19" s="45">
        <f t="shared" si="1"/>
        <v>-705975</v>
      </c>
      <c r="AK19" s="45">
        <f t="shared" si="2"/>
        <v>8274072</v>
      </c>
      <c r="AL19" s="45">
        <f>ROUND(AK19/'8_2.1.21 SIS'!C19,0)</f>
        <v>7711</v>
      </c>
      <c r="AM19" s="46">
        <f>VLOOKUP($A19,[1]LEA_Summary!$A$7:$O$139,COLUMN([1]LEA_Summary!$I:$I),FALSE)</f>
        <v>-22213</v>
      </c>
      <c r="AN19" s="44">
        <f t="shared" si="5"/>
        <v>0</v>
      </c>
      <c r="AO19" s="44">
        <f t="shared" si="6"/>
        <v>-22213</v>
      </c>
      <c r="AP19" s="44"/>
      <c r="AQ19" s="44"/>
      <c r="AR19" s="46">
        <f t="shared" si="7"/>
        <v>0</v>
      </c>
      <c r="AS19" s="45">
        <f t="shared" si="8"/>
        <v>8251859</v>
      </c>
      <c r="AT19" s="44">
        <f>VLOOKUP($A19,'4_Level 4'!$A$7:$AP$139,COLUMN('4_Level 4'!$E:$E),FALSE)</f>
        <v>0</v>
      </c>
      <c r="AU19" s="44">
        <f>VLOOKUP($A19,'4_Level 4'!$A$7:$AP$139,COLUMN('4_Level 4'!$Q:$Q),FALSE)</f>
        <v>29146</v>
      </c>
      <c r="AV19" s="44">
        <f>VLOOKUP($A19,'4_Level 4'!$A$7:$AP$139,COLUMN('4_Level 4'!$AC:$AC),FALSE)</f>
        <v>175592</v>
      </c>
      <c r="AW19" s="44">
        <f>VLOOKUP($A19,'4_Level 4'!$A$7:$AP$139,COLUMN('4_Level 4'!$AO:$AO),FALSE)</f>
        <v>140473</v>
      </c>
      <c r="AX19" s="45">
        <f t="shared" si="3"/>
        <v>8597070</v>
      </c>
      <c r="AY19" s="44"/>
      <c r="AZ19" s="44">
        <f t="shared" si="9"/>
        <v>8597070</v>
      </c>
      <c r="BA19" s="44">
        <f t="shared" si="4"/>
        <v>716423</v>
      </c>
      <c r="BB19" s="44">
        <f>VLOOKUP($A19,'4_Level 4'!$A$7:$AP$139,COLUMN('4_Level 4'!$J:$J),FALSE)</f>
        <v>0</v>
      </c>
      <c r="BC19" s="44">
        <f>VLOOKUP($A19,'4_Level 4'!$A$7:$AP$139,COLUMN('4_Level 4'!$L:$L),FALSE)</f>
        <v>26570</v>
      </c>
      <c r="BD19" s="44">
        <f>VLOOKUP($A19,'4_Level 4'!$A$7:$AP$139,COLUMN('4_Level 4'!$M:$M),FALSE)</f>
        <v>0</v>
      </c>
      <c r="BE19" s="45">
        <f t="shared" si="10"/>
        <v>8623640</v>
      </c>
    </row>
    <row r="20" spans="1:57" ht="15.6" customHeight="1" x14ac:dyDescent="0.2">
      <c r="A20" s="42">
        <v>14</v>
      </c>
      <c r="B20" s="43" t="s">
        <v>144</v>
      </c>
      <c r="C20" s="44">
        <f>'3_Levels 1&amp;2'!AP20</f>
        <v>13273922</v>
      </c>
      <c r="D20" s="44">
        <v>0</v>
      </c>
      <c r="E20" s="44">
        <v>0</v>
      </c>
      <c r="F20" s="44">
        <v>-12941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-296816</v>
      </c>
      <c r="V20" s="44">
        <v>0</v>
      </c>
      <c r="W20" s="44">
        <v>0</v>
      </c>
      <c r="X20" s="44">
        <v>0</v>
      </c>
      <c r="Y20" s="44">
        <v>0</v>
      </c>
      <c r="Z20" s="44">
        <v>-335699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-14403</v>
      </c>
      <c r="AI20" s="44">
        <v>-32214</v>
      </c>
      <c r="AJ20" s="45">
        <f t="shared" si="1"/>
        <v>-692073</v>
      </c>
      <c r="AK20" s="45">
        <f t="shared" si="2"/>
        <v>12581849</v>
      </c>
      <c r="AL20" s="45">
        <f>ROUND(AK20/'8_2.1.21 SIS'!C20,0)</f>
        <v>7781</v>
      </c>
      <c r="AM20" s="46">
        <f>VLOOKUP($A20,[1]LEA_Summary!$A$7:$O$139,COLUMN([1]LEA_Summary!$I:$I),FALSE)</f>
        <v>-3620</v>
      </c>
      <c r="AN20" s="44">
        <f t="shared" si="5"/>
        <v>0</v>
      </c>
      <c r="AO20" s="44">
        <f t="shared" si="6"/>
        <v>-3620</v>
      </c>
      <c r="AP20" s="44"/>
      <c r="AQ20" s="44"/>
      <c r="AR20" s="46">
        <f t="shared" si="7"/>
        <v>0</v>
      </c>
      <c r="AS20" s="45">
        <f t="shared" si="8"/>
        <v>12578229</v>
      </c>
      <c r="AT20" s="44">
        <f>VLOOKUP($A20,'4_Level 4'!$A$7:$AP$139,COLUMN('4_Level 4'!$E:$E),FALSE)</f>
        <v>0</v>
      </c>
      <c r="AU20" s="44">
        <f>VLOOKUP($A20,'4_Level 4'!$A$7:$AP$139,COLUMN('4_Level 4'!$Q:$Q),FALSE)</f>
        <v>39412</v>
      </c>
      <c r="AV20" s="44">
        <f>VLOOKUP($A20,'4_Level 4'!$A$7:$AP$139,COLUMN('4_Level 4'!$AC:$AC),FALSE)</f>
        <v>259685</v>
      </c>
      <c r="AW20" s="44">
        <f>VLOOKUP($A20,'4_Level 4'!$A$7:$AP$139,COLUMN('4_Level 4'!$AO:$AO),FALSE)</f>
        <v>207748</v>
      </c>
      <c r="AX20" s="45">
        <f t="shared" si="3"/>
        <v>13085074</v>
      </c>
      <c r="AY20" s="44"/>
      <c r="AZ20" s="44">
        <f t="shared" si="9"/>
        <v>13085074</v>
      </c>
      <c r="BA20" s="44">
        <f t="shared" si="4"/>
        <v>1090423</v>
      </c>
      <c r="BB20" s="44">
        <f>VLOOKUP($A20,'4_Level 4'!$A$7:$AP$139,COLUMN('4_Level 4'!$J:$J),FALSE)</f>
        <v>0</v>
      </c>
      <c r="BC20" s="44">
        <f>VLOOKUP($A20,'4_Level 4'!$A$7:$AP$139,COLUMN('4_Level 4'!$L:$L),FALSE)</f>
        <v>56033</v>
      </c>
      <c r="BD20" s="44">
        <f>VLOOKUP($A20,'4_Level 4'!$A$7:$AP$139,COLUMN('4_Level 4'!$M:$M),FALSE)</f>
        <v>0</v>
      </c>
      <c r="BE20" s="45">
        <f t="shared" si="10"/>
        <v>13141107</v>
      </c>
    </row>
    <row r="21" spans="1:57" ht="15.6" customHeight="1" x14ac:dyDescent="0.2">
      <c r="A21" s="47">
        <v>15</v>
      </c>
      <c r="B21" s="48" t="s">
        <v>145</v>
      </c>
      <c r="C21" s="49">
        <f>'3_Levels 1&amp;2'!AP21</f>
        <v>24231626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-2003712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-67630</v>
      </c>
      <c r="AI21" s="49">
        <v>-6393</v>
      </c>
      <c r="AJ21" s="50">
        <f t="shared" si="1"/>
        <v>-2077735</v>
      </c>
      <c r="AK21" s="50">
        <f t="shared" si="2"/>
        <v>22153891</v>
      </c>
      <c r="AL21" s="50">
        <f>ROUND(AK21/'8_2.1.21 SIS'!C21,0)</f>
        <v>7085</v>
      </c>
      <c r="AM21" s="51">
        <f>VLOOKUP($A21,[1]LEA_Summary!$A$7:$O$139,COLUMN([1]LEA_Summary!$I:$I),FALSE)</f>
        <v>-33458</v>
      </c>
      <c r="AN21" s="49">
        <f t="shared" si="5"/>
        <v>0</v>
      </c>
      <c r="AO21" s="49">
        <f t="shared" si="6"/>
        <v>-33458</v>
      </c>
      <c r="AP21" s="49"/>
      <c r="AQ21" s="49"/>
      <c r="AR21" s="51">
        <f t="shared" si="7"/>
        <v>0</v>
      </c>
      <c r="AS21" s="50">
        <f t="shared" si="8"/>
        <v>22120433</v>
      </c>
      <c r="AT21" s="49">
        <f>VLOOKUP($A21,'4_Level 4'!$A$7:$AP$139,COLUMN('4_Level 4'!$E:$E),FALSE)</f>
        <v>0</v>
      </c>
      <c r="AU21" s="49">
        <f>VLOOKUP($A21,'4_Level 4'!$A$7:$AP$139,COLUMN('4_Level 4'!$Q:$Q),FALSE)</f>
        <v>83544</v>
      </c>
      <c r="AV21" s="49">
        <f>VLOOKUP($A21,'4_Level 4'!$A$7:$AP$139,COLUMN('4_Level 4'!$AC:$AC),FALSE)</f>
        <v>506311</v>
      </c>
      <c r="AW21" s="49">
        <f>VLOOKUP($A21,'4_Level 4'!$A$7:$AP$139,COLUMN('4_Level 4'!$AO:$AO),FALSE)</f>
        <v>405048</v>
      </c>
      <c r="AX21" s="50">
        <f t="shared" si="3"/>
        <v>23115336</v>
      </c>
      <c r="AY21" s="49"/>
      <c r="AZ21" s="49">
        <f t="shared" si="9"/>
        <v>23115336</v>
      </c>
      <c r="BA21" s="49">
        <f t="shared" si="4"/>
        <v>1926278</v>
      </c>
      <c r="BB21" s="49">
        <f>VLOOKUP($A21,'4_Level 4'!$A$7:$AP$139,COLUMN('4_Level 4'!$J:$J),FALSE)</f>
        <v>0</v>
      </c>
      <c r="BC21" s="49">
        <f>VLOOKUP($A21,'4_Level 4'!$A$7:$AP$139,COLUMN('4_Level 4'!$L:$L),FALSE)</f>
        <v>78446</v>
      </c>
      <c r="BD21" s="49">
        <f>VLOOKUP($A21,'4_Level 4'!$A$7:$AP$139,COLUMN('4_Level 4'!$M:$M),FALSE)</f>
        <v>0</v>
      </c>
      <c r="BE21" s="50">
        <f t="shared" si="10"/>
        <v>23193782</v>
      </c>
    </row>
    <row r="22" spans="1:57" ht="15.6" customHeight="1" x14ac:dyDescent="0.2">
      <c r="A22" s="36">
        <v>16</v>
      </c>
      <c r="B22" s="37" t="s">
        <v>146</v>
      </c>
      <c r="C22" s="38">
        <f>'3_Levels 1&amp;2'!AP22</f>
        <v>12678646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-23588</v>
      </c>
      <c r="AI22" s="38">
        <v>-21732</v>
      </c>
      <c r="AJ22" s="39">
        <f t="shared" si="1"/>
        <v>-45320</v>
      </c>
      <c r="AK22" s="39">
        <f t="shared" si="2"/>
        <v>12633326</v>
      </c>
      <c r="AL22" s="39">
        <f>ROUND(AK22/'8_2.1.21 SIS'!C22,0)</f>
        <v>2712</v>
      </c>
      <c r="AM22" s="40">
        <f>VLOOKUP($A22,[1]LEA_Summary!$A$7:$O$139,COLUMN([1]LEA_Summary!$I:$I),FALSE)</f>
        <v>-6142</v>
      </c>
      <c r="AN22" s="38">
        <f t="shared" si="5"/>
        <v>0</v>
      </c>
      <c r="AO22" s="38">
        <f t="shared" si="6"/>
        <v>-6142</v>
      </c>
      <c r="AP22" s="38"/>
      <c r="AQ22" s="38"/>
      <c r="AR22" s="40">
        <f t="shared" si="7"/>
        <v>0</v>
      </c>
      <c r="AS22" s="39">
        <f t="shared" si="8"/>
        <v>12627184</v>
      </c>
      <c r="AT22" s="38">
        <f>VLOOKUP($A22,'4_Level 4'!$A$7:$AP$139,COLUMN('4_Level 4'!$E:$E),FALSE)</f>
        <v>0</v>
      </c>
      <c r="AU22" s="38">
        <f>VLOOKUP($A22,'4_Level 4'!$A$7:$AP$139,COLUMN('4_Level 4'!$Q:$Q),FALSE)</f>
        <v>128915</v>
      </c>
      <c r="AV22" s="38">
        <f>VLOOKUP($A22,'4_Level 4'!$A$7:$AP$139,COLUMN('4_Level 4'!$AC:$AC),FALSE)</f>
        <v>716561</v>
      </c>
      <c r="AW22" s="38">
        <f>VLOOKUP($A22,'4_Level 4'!$A$7:$AP$139,COLUMN('4_Level 4'!$AO:$AO),FALSE)</f>
        <v>573249</v>
      </c>
      <c r="AX22" s="39">
        <f t="shared" si="3"/>
        <v>14045909</v>
      </c>
      <c r="AY22" s="38"/>
      <c r="AZ22" s="38">
        <f t="shared" si="9"/>
        <v>14045909</v>
      </c>
      <c r="BA22" s="38">
        <f t="shared" si="4"/>
        <v>1170492</v>
      </c>
      <c r="BB22" s="38">
        <f>VLOOKUP($A22,'4_Level 4'!$A$7:$AP$139,COLUMN('4_Level 4'!$J:$J),FALSE)</f>
        <v>0</v>
      </c>
      <c r="BC22" s="38">
        <f>VLOOKUP($A22,'4_Level 4'!$A$7:$AP$139,COLUMN('4_Level 4'!$L:$L),FALSE)</f>
        <v>195029</v>
      </c>
      <c r="BD22" s="38">
        <f>VLOOKUP($A22,'4_Level 4'!$A$7:$AP$139,COLUMN('4_Level 4'!$M:$M),FALSE)</f>
        <v>0</v>
      </c>
      <c r="BE22" s="39">
        <f t="shared" si="10"/>
        <v>14240938</v>
      </c>
    </row>
    <row r="23" spans="1:57" ht="15.6" customHeight="1" x14ac:dyDescent="0.2">
      <c r="A23" s="42">
        <v>17</v>
      </c>
      <c r="B23" s="43" t="s">
        <v>147</v>
      </c>
      <c r="C23" s="44">
        <f>'3_Levels 1&amp;2'!AP23</f>
        <v>198205726</v>
      </c>
      <c r="D23" s="44">
        <f>-'5B2_RSD LA'!I18</f>
        <v>-8638826</v>
      </c>
      <c r="E23" s="44">
        <v>-2364649</v>
      </c>
      <c r="F23" s="44">
        <v>0</v>
      </c>
      <c r="G23" s="44">
        <v>0</v>
      </c>
      <c r="H23" s="44">
        <v>0</v>
      </c>
      <c r="I23" s="44">
        <v>0</v>
      </c>
      <c r="J23" s="44">
        <v>-62</v>
      </c>
      <c r="K23" s="44">
        <v>0</v>
      </c>
      <c r="L23" s="44">
        <v>-3577</v>
      </c>
      <c r="M23" s="44">
        <v>-1668040</v>
      </c>
      <c r="N23" s="44">
        <v>0</v>
      </c>
      <c r="O23" s="44">
        <v>-2915268</v>
      </c>
      <c r="P23" s="44">
        <v>0</v>
      </c>
      <c r="Q23" s="44">
        <v>-942241</v>
      </c>
      <c r="R23" s="44">
        <v>-966079</v>
      </c>
      <c r="S23" s="44">
        <v>-152561</v>
      </c>
      <c r="T23" s="44">
        <v>0</v>
      </c>
      <c r="U23" s="44">
        <v>0</v>
      </c>
      <c r="V23" s="44">
        <v>-3577</v>
      </c>
      <c r="W23" s="44">
        <v>0</v>
      </c>
      <c r="X23" s="44">
        <v>-12094</v>
      </c>
      <c r="Y23" s="44">
        <v>-3043757</v>
      </c>
      <c r="Z23" s="44">
        <v>0</v>
      </c>
      <c r="AA23" s="44">
        <v>0</v>
      </c>
      <c r="AB23" s="44">
        <v>0</v>
      </c>
      <c r="AC23" s="44">
        <v>-2062948</v>
      </c>
      <c r="AD23" s="44">
        <v>0</v>
      </c>
      <c r="AE23" s="44">
        <v>0</v>
      </c>
      <c r="AF23" s="44">
        <v>-840970</v>
      </c>
      <c r="AG23" s="44">
        <v>0</v>
      </c>
      <c r="AH23" s="44">
        <v>-541373</v>
      </c>
      <c r="AI23" s="44">
        <v>-1323317</v>
      </c>
      <c r="AJ23" s="45">
        <f t="shared" si="1"/>
        <v>-25479339</v>
      </c>
      <c r="AK23" s="45">
        <f t="shared" si="2"/>
        <v>172726387</v>
      </c>
      <c r="AL23" s="45">
        <f>ROUND(AK23/'8_2.1.21 SIS'!C23,0)</f>
        <v>4382</v>
      </c>
      <c r="AM23" s="46">
        <f>VLOOKUP($A23,[1]LEA_Summary!$A$7:$O$139,COLUMN([1]LEA_Summary!$I:$I),FALSE)</f>
        <v>-155996</v>
      </c>
      <c r="AN23" s="44">
        <f t="shared" si="5"/>
        <v>0</v>
      </c>
      <c r="AO23" s="44">
        <f t="shared" si="6"/>
        <v>-155996</v>
      </c>
      <c r="AP23" s="44"/>
      <c r="AQ23" s="44"/>
      <c r="AR23" s="46">
        <f t="shared" si="7"/>
        <v>0</v>
      </c>
      <c r="AS23" s="45">
        <f t="shared" si="8"/>
        <v>172570391</v>
      </c>
      <c r="AT23" s="44">
        <f>VLOOKUP($A23,'4_Level 4'!$A$7:$AP$139,COLUMN('4_Level 4'!$E:$E),FALSE)</f>
        <v>399000</v>
      </c>
      <c r="AU23" s="44">
        <f>VLOOKUP($A23,'4_Level 4'!$A$7:$AP$139,COLUMN('4_Level 4'!$Q:$Q),FALSE)</f>
        <v>971907</v>
      </c>
      <c r="AV23" s="44">
        <f>VLOOKUP($A23,'4_Level 4'!$A$7:$AP$139,COLUMN('4_Level 4'!$AC:$AC),FALSE)</f>
        <v>6139081</v>
      </c>
      <c r="AW23" s="44">
        <f>VLOOKUP($A23,'4_Level 4'!$A$7:$AP$139,COLUMN('4_Level 4'!$AO:$AO),FALSE)</f>
        <v>4911265</v>
      </c>
      <c r="AX23" s="45">
        <f t="shared" si="3"/>
        <v>184991644</v>
      </c>
      <c r="AY23" s="44"/>
      <c r="AZ23" s="44">
        <f t="shared" si="9"/>
        <v>184991644</v>
      </c>
      <c r="BA23" s="44">
        <f t="shared" si="4"/>
        <v>15415970</v>
      </c>
      <c r="BB23" s="44">
        <f>VLOOKUP($A23,'4_Level 4'!$A$7:$AP$139,COLUMN('4_Level 4'!$J:$J),FALSE)</f>
        <v>0</v>
      </c>
      <c r="BC23" s="44">
        <f>VLOOKUP($A23,'4_Level 4'!$A$7:$AP$139,COLUMN('4_Level 4'!$L:$L),FALSE)</f>
        <v>783913</v>
      </c>
      <c r="BD23" s="44">
        <f>VLOOKUP($A23,'4_Level 4'!$A$7:$AP$139,COLUMN('4_Level 4'!$M:$M),FALSE)</f>
        <v>0</v>
      </c>
      <c r="BE23" s="45">
        <f t="shared" si="10"/>
        <v>185775557</v>
      </c>
    </row>
    <row r="24" spans="1:57" ht="15.6" customHeight="1" x14ac:dyDescent="0.2">
      <c r="A24" s="42">
        <v>18</v>
      </c>
      <c r="B24" s="43" t="s">
        <v>148</v>
      </c>
      <c r="C24" s="44">
        <f>'3_Levels 1&amp;2'!AP24</f>
        <v>5696374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-11030</v>
      </c>
      <c r="AI24" s="44">
        <v>-32110</v>
      </c>
      <c r="AJ24" s="45">
        <f t="shared" si="1"/>
        <v>-43140</v>
      </c>
      <c r="AK24" s="45">
        <f t="shared" si="2"/>
        <v>5653234</v>
      </c>
      <c r="AL24" s="45">
        <f>ROUND(AK24/'8_2.1.21 SIS'!C24,0)</f>
        <v>7093</v>
      </c>
      <c r="AM24" s="46">
        <f>VLOOKUP($A24,[1]LEA_Summary!$A$7:$O$139,COLUMN([1]LEA_Summary!$I:$I),FALSE)</f>
        <v>-22268</v>
      </c>
      <c r="AN24" s="44">
        <f t="shared" si="5"/>
        <v>0</v>
      </c>
      <c r="AO24" s="44">
        <f t="shared" si="6"/>
        <v>-22268</v>
      </c>
      <c r="AP24" s="44"/>
      <c r="AQ24" s="44"/>
      <c r="AR24" s="46">
        <f t="shared" si="7"/>
        <v>0</v>
      </c>
      <c r="AS24" s="45">
        <f t="shared" si="8"/>
        <v>5630966</v>
      </c>
      <c r="AT24" s="44">
        <f>VLOOKUP($A24,'4_Level 4'!$A$7:$AP$139,COLUMN('4_Level 4'!$E:$E),FALSE)</f>
        <v>42000</v>
      </c>
      <c r="AU24" s="44">
        <f>VLOOKUP($A24,'4_Level 4'!$A$7:$AP$139,COLUMN('4_Level 4'!$Q:$Q),FALSE)</f>
        <v>21830</v>
      </c>
      <c r="AV24" s="44">
        <f>VLOOKUP($A24,'4_Level 4'!$A$7:$AP$139,COLUMN('4_Level 4'!$AC:$AC),FALSE)</f>
        <v>137241</v>
      </c>
      <c r="AW24" s="44">
        <f>VLOOKUP($A24,'4_Level 4'!$A$7:$AP$139,COLUMN('4_Level 4'!$AO:$AO),FALSE)</f>
        <v>109792</v>
      </c>
      <c r="AX24" s="45">
        <f t="shared" si="3"/>
        <v>5941829</v>
      </c>
      <c r="AY24" s="44"/>
      <c r="AZ24" s="44">
        <f t="shared" si="9"/>
        <v>5941829</v>
      </c>
      <c r="BA24" s="44">
        <f t="shared" si="4"/>
        <v>495152</v>
      </c>
      <c r="BB24" s="44">
        <f>VLOOKUP($A24,'4_Level 4'!$A$7:$AP$139,COLUMN('4_Level 4'!$J:$J),FALSE)</f>
        <v>0</v>
      </c>
      <c r="BC24" s="44">
        <f>VLOOKUP($A24,'4_Level 4'!$A$7:$AP$139,COLUMN('4_Level 4'!$L:$L),FALSE)</f>
        <v>36150</v>
      </c>
      <c r="BD24" s="44">
        <f>VLOOKUP($A24,'4_Level 4'!$A$7:$AP$139,COLUMN('4_Level 4'!$M:$M),FALSE)</f>
        <v>0</v>
      </c>
      <c r="BE24" s="45">
        <f t="shared" si="10"/>
        <v>5977979</v>
      </c>
    </row>
    <row r="25" spans="1:57" ht="15.6" customHeight="1" x14ac:dyDescent="0.2">
      <c r="A25" s="42">
        <v>19</v>
      </c>
      <c r="B25" s="43" t="s">
        <v>149</v>
      </c>
      <c r="C25" s="44">
        <f>'3_Levels 1&amp;2'!AP25</f>
        <v>9532245</v>
      </c>
      <c r="D25" s="44">
        <v>0</v>
      </c>
      <c r="E25" s="44">
        <v>-4956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-52773</v>
      </c>
      <c r="N25" s="44">
        <v>0</v>
      </c>
      <c r="O25" s="44">
        <v>0</v>
      </c>
      <c r="P25" s="44">
        <v>0</v>
      </c>
      <c r="Q25" s="44">
        <v>0</v>
      </c>
      <c r="R25" s="44">
        <v>-55150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-297</v>
      </c>
      <c r="AG25" s="44">
        <v>0</v>
      </c>
      <c r="AH25" s="44">
        <v>-45388</v>
      </c>
      <c r="AI25" s="44">
        <v>-157684</v>
      </c>
      <c r="AJ25" s="45">
        <f t="shared" si="1"/>
        <v>-316248</v>
      </c>
      <c r="AK25" s="45">
        <f t="shared" si="2"/>
        <v>9215997</v>
      </c>
      <c r="AL25" s="45">
        <f>ROUND(AK25/'8_2.1.21 SIS'!C25,0)</f>
        <v>5647</v>
      </c>
      <c r="AM25" s="46">
        <f>VLOOKUP($A25,[1]LEA_Summary!$A$7:$O$139,COLUMN([1]LEA_Summary!$I:$I),FALSE)</f>
        <v>11233</v>
      </c>
      <c r="AN25" s="44">
        <f t="shared" si="5"/>
        <v>11233</v>
      </c>
      <c r="AO25" s="44">
        <f t="shared" si="6"/>
        <v>0</v>
      </c>
      <c r="AP25" s="44"/>
      <c r="AQ25" s="44"/>
      <c r="AR25" s="46">
        <f t="shared" si="7"/>
        <v>0</v>
      </c>
      <c r="AS25" s="45">
        <f t="shared" si="8"/>
        <v>9227230</v>
      </c>
      <c r="AT25" s="44">
        <f>VLOOKUP($A25,'4_Level 4'!$A$7:$AP$139,COLUMN('4_Level 4'!$E:$E),FALSE)</f>
        <v>0</v>
      </c>
      <c r="AU25" s="44">
        <f>VLOOKUP($A25,'4_Level 4'!$A$7:$AP$139,COLUMN('4_Level 4'!$Q:$Q),FALSE)</f>
        <v>45430</v>
      </c>
      <c r="AV25" s="44">
        <f>VLOOKUP($A25,'4_Level 4'!$A$7:$AP$139,COLUMN('4_Level 4'!$AC:$AC),FALSE)</f>
        <v>276148</v>
      </c>
      <c r="AW25" s="44">
        <f>VLOOKUP($A25,'4_Level 4'!$A$7:$AP$139,COLUMN('4_Level 4'!$AO:$AO),FALSE)</f>
        <v>220919</v>
      </c>
      <c r="AX25" s="45">
        <f t="shared" si="3"/>
        <v>9769727</v>
      </c>
      <c r="AY25" s="44"/>
      <c r="AZ25" s="44">
        <f t="shared" si="9"/>
        <v>9769727</v>
      </c>
      <c r="BA25" s="44">
        <f t="shared" si="4"/>
        <v>814144</v>
      </c>
      <c r="BB25" s="44">
        <f>VLOOKUP($A25,'4_Level 4'!$A$7:$AP$139,COLUMN('4_Level 4'!$J:$J),FALSE)</f>
        <v>0</v>
      </c>
      <c r="BC25" s="44">
        <f>VLOOKUP($A25,'4_Level 4'!$A$7:$AP$139,COLUMN('4_Level 4'!$L:$L),FALSE)</f>
        <v>25000</v>
      </c>
      <c r="BD25" s="44">
        <f>VLOOKUP($A25,'4_Level 4'!$A$7:$AP$139,COLUMN('4_Level 4'!$M:$M),FALSE)</f>
        <v>0</v>
      </c>
      <c r="BE25" s="45">
        <f t="shared" si="10"/>
        <v>9794727</v>
      </c>
    </row>
    <row r="26" spans="1:57" ht="15.6" customHeight="1" x14ac:dyDescent="0.2">
      <c r="A26" s="47">
        <v>20</v>
      </c>
      <c r="B26" s="48" t="s">
        <v>150</v>
      </c>
      <c r="C26" s="49">
        <f>'3_Levels 1&amp;2'!AP26</f>
        <v>36646636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-5747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-134239</v>
      </c>
      <c r="AI26" s="49">
        <v>-141506</v>
      </c>
      <c r="AJ26" s="50">
        <f t="shared" si="1"/>
        <v>-281492</v>
      </c>
      <c r="AK26" s="50">
        <f t="shared" si="2"/>
        <v>36365144</v>
      </c>
      <c r="AL26" s="50">
        <f>ROUND(AK26/'8_2.1.21 SIS'!C26,0)</f>
        <v>6637</v>
      </c>
      <c r="AM26" s="51">
        <f>VLOOKUP($A26,[1]LEA_Summary!$A$7:$O$139,COLUMN([1]LEA_Summary!$I:$I),FALSE)</f>
        <v>-8661</v>
      </c>
      <c r="AN26" s="49">
        <f t="shared" si="5"/>
        <v>0</v>
      </c>
      <c r="AO26" s="49">
        <f t="shared" si="6"/>
        <v>-8661</v>
      </c>
      <c r="AP26" s="49"/>
      <c r="AQ26" s="49"/>
      <c r="AR26" s="51">
        <f t="shared" si="7"/>
        <v>0</v>
      </c>
      <c r="AS26" s="50">
        <f t="shared" si="8"/>
        <v>36356483</v>
      </c>
      <c r="AT26" s="49">
        <f>VLOOKUP($A26,'4_Level 4'!$A$7:$AP$139,COLUMN('4_Level 4'!$E:$E),FALSE)</f>
        <v>168000</v>
      </c>
      <c r="AU26" s="49">
        <f>VLOOKUP($A26,'4_Level 4'!$A$7:$AP$139,COLUMN('4_Level 4'!$Q:$Q),FALSE)</f>
        <v>143606</v>
      </c>
      <c r="AV26" s="49">
        <f>VLOOKUP($A26,'4_Level 4'!$A$7:$AP$139,COLUMN('4_Level 4'!$AC:$AC),FALSE)</f>
        <v>770585</v>
      </c>
      <c r="AW26" s="49">
        <f>VLOOKUP($A26,'4_Level 4'!$A$7:$AP$139,COLUMN('4_Level 4'!$AO:$AO),FALSE)</f>
        <v>616468</v>
      </c>
      <c r="AX26" s="50">
        <f t="shared" si="3"/>
        <v>38055142</v>
      </c>
      <c r="AY26" s="49"/>
      <c r="AZ26" s="49">
        <f t="shared" si="9"/>
        <v>38055142</v>
      </c>
      <c r="BA26" s="49">
        <f t="shared" si="4"/>
        <v>3171262</v>
      </c>
      <c r="BB26" s="49">
        <f>VLOOKUP($A26,'4_Level 4'!$A$7:$AP$139,COLUMN('4_Level 4'!$J:$J),FALSE)</f>
        <v>0</v>
      </c>
      <c r="BC26" s="49">
        <f>VLOOKUP($A26,'4_Level 4'!$A$7:$AP$139,COLUMN('4_Level 4'!$L:$L),FALSE)</f>
        <v>176954</v>
      </c>
      <c r="BD26" s="49">
        <f>VLOOKUP($A26,'4_Level 4'!$A$7:$AP$139,COLUMN('4_Level 4'!$M:$M),FALSE)</f>
        <v>0</v>
      </c>
      <c r="BE26" s="50">
        <f t="shared" si="10"/>
        <v>38232096</v>
      </c>
    </row>
    <row r="27" spans="1:57" ht="15.6" customHeight="1" x14ac:dyDescent="0.2">
      <c r="A27" s="36">
        <v>21</v>
      </c>
      <c r="B27" s="37" t="s">
        <v>151</v>
      </c>
      <c r="C27" s="38">
        <f>'3_Levels 1&amp;2'!AP27</f>
        <v>19861650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-6023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-24157</v>
      </c>
      <c r="AI27" s="38">
        <v>-87988</v>
      </c>
      <c r="AJ27" s="39">
        <f t="shared" si="1"/>
        <v>-118168</v>
      </c>
      <c r="AK27" s="39">
        <f t="shared" si="2"/>
        <v>19743482</v>
      </c>
      <c r="AL27" s="39">
        <f>ROUND(AK27/'8_2.1.21 SIS'!C27,0)</f>
        <v>7146</v>
      </c>
      <c r="AM27" s="40">
        <f>VLOOKUP($A27,[1]LEA_Summary!$A$7:$O$139,COLUMN([1]LEA_Summary!$I:$I),FALSE)</f>
        <v>0</v>
      </c>
      <c r="AN27" s="38">
        <f t="shared" si="5"/>
        <v>0</v>
      </c>
      <c r="AO27" s="38">
        <f t="shared" si="6"/>
        <v>0</v>
      </c>
      <c r="AP27" s="38"/>
      <c r="AQ27" s="38"/>
      <c r="AR27" s="40">
        <f t="shared" si="7"/>
        <v>0</v>
      </c>
      <c r="AS27" s="39">
        <f t="shared" si="8"/>
        <v>19743482</v>
      </c>
      <c r="AT27" s="38">
        <f>VLOOKUP($A27,'4_Level 4'!$A$7:$AP$139,COLUMN('4_Level 4'!$E:$E),FALSE)</f>
        <v>0</v>
      </c>
      <c r="AU27" s="38">
        <f>VLOOKUP($A27,'4_Level 4'!$A$7:$AP$139,COLUMN('4_Level 4'!$Q:$Q),FALSE)</f>
        <v>72570</v>
      </c>
      <c r="AV27" s="38">
        <f>VLOOKUP($A27,'4_Level 4'!$A$7:$AP$139,COLUMN('4_Level 4'!$AC:$AC),FALSE)</f>
        <v>444799</v>
      </c>
      <c r="AW27" s="38">
        <f>VLOOKUP($A27,'4_Level 4'!$A$7:$AP$139,COLUMN('4_Level 4'!$AO:$AO),FALSE)</f>
        <v>355839</v>
      </c>
      <c r="AX27" s="39">
        <f t="shared" si="3"/>
        <v>20616690</v>
      </c>
      <c r="AY27" s="38"/>
      <c r="AZ27" s="38">
        <f t="shared" si="9"/>
        <v>20616690</v>
      </c>
      <c r="BA27" s="38">
        <f t="shared" si="4"/>
        <v>1718058</v>
      </c>
      <c r="BB27" s="38">
        <f>VLOOKUP($A27,'4_Level 4'!$A$7:$AP$139,COLUMN('4_Level 4'!$J:$J),FALSE)</f>
        <v>0</v>
      </c>
      <c r="BC27" s="38">
        <f>VLOOKUP($A27,'4_Level 4'!$A$7:$AP$139,COLUMN('4_Level 4'!$L:$L),FALSE)</f>
        <v>25000</v>
      </c>
      <c r="BD27" s="38">
        <f>VLOOKUP($A27,'4_Level 4'!$A$7:$AP$139,COLUMN('4_Level 4'!$M:$M),FALSE)</f>
        <v>0</v>
      </c>
      <c r="BE27" s="39">
        <f t="shared" si="10"/>
        <v>20641690</v>
      </c>
    </row>
    <row r="28" spans="1:57" ht="15.6" customHeight="1" x14ac:dyDescent="0.2">
      <c r="A28" s="42">
        <v>22</v>
      </c>
      <c r="B28" s="43" t="s">
        <v>152</v>
      </c>
      <c r="C28" s="44">
        <f>'3_Levels 1&amp;2'!AP28</f>
        <v>21913678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-56816</v>
      </c>
      <c r="AI28" s="44">
        <v>-123171</v>
      </c>
      <c r="AJ28" s="45">
        <f t="shared" si="1"/>
        <v>-179987</v>
      </c>
      <c r="AK28" s="45">
        <f t="shared" si="2"/>
        <v>21733691</v>
      </c>
      <c r="AL28" s="45">
        <f>ROUND(AK28/'8_2.1.21 SIS'!C28,0)</f>
        <v>7759</v>
      </c>
      <c r="AM28" s="46">
        <f>VLOOKUP($A28,[1]LEA_Summary!$A$7:$O$139,COLUMN([1]LEA_Summary!$I:$I),FALSE)</f>
        <v>0</v>
      </c>
      <c r="AN28" s="44">
        <f t="shared" si="5"/>
        <v>0</v>
      </c>
      <c r="AO28" s="44">
        <f t="shared" si="6"/>
        <v>0</v>
      </c>
      <c r="AP28" s="44"/>
      <c r="AQ28" s="44"/>
      <c r="AR28" s="46">
        <f t="shared" si="7"/>
        <v>0</v>
      </c>
      <c r="AS28" s="45">
        <f t="shared" si="8"/>
        <v>21733691</v>
      </c>
      <c r="AT28" s="44">
        <f>VLOOKUP($A28,'4_Level 4'!$A$7:$AP$139,COLUMN('4_Level 4'!$E:$E),FALSE)</f>
        <v>0</v>
      </c>
      <c r="AU28" s="44">
        <f>VLOOKUP($A28,'4_Level 4'!$A$7:$AP$139,COLUMN('4_Level 4'!$Q:$Q),FALSE)</f>
        <v>75402</v>
      </c>
      <c r="AV28" s="44">
        <f>VLOOKUP($A28,'4_Level 4'!$A$7:$AP$139,COLUMN('4_Level 4'!$AC:$AC),FALSE)</f>
        <v>422558</v>
      </c>
      <c r="AW28" s="44">
        <f>VLOOKUP($A28,'4_Level 4'!$A$7:$AP$139,COLUMN('4_Level 4'!$AO:$AO),FALSE)</f>
        <v>338045</v>
      </c>
      <c r="AX28" s="45">
        <f t="shared" si="3"/>
        <v>22569696</v>
      </c>
      <c r="AY28" s="44"/>
      <c r="AZ28" s="44">
        <f t="shared" si="9"/>
        <v>22569696</v>
      </c>
      <c r="BA28" s="44">
        <f t="shared" si="4"/>
        <v>1880808</v>
      </c>
      <c r="BB28" s="44">
        <f>VLOOKUP($A28,'4_Level 4'!$A$7:$AP$139,COLUMN('4_Level 4'!$J:$J),FALSE)</f>
        <v>0</v>
      </c>
      <c r="BC28" s="44">
        <f>VLOOKUP($A28,'4_Level 4'!$A$7:$AP$139,COLUMN('4_Level 4'!$L:$L),FALSE)</f>
        <v>85856</v>
      </c>
      <c r="BD28" s="44">
        <f>VLOOKUP($A28,'4_Level 4'!$A$7:$AP$139,COLUMN('4_Level 4'!$M:$M),FALSE)</f>
        <v>0</v>
      </c>
      <c r="BE28" s="45">
        <f t="shared" si="10"/>
        <v>22655552</v>
      </c>
    </row>
    <row r="29" spans="1:57" ht="15.6" customHeight="1" x14ac:dyDescent="0.2">
      <c r="A29" s="42">
        <v>23</v>
      </c>
      <c r="B29" s="43" t="s">
        <v>153</v>
      </c>
      <c r="C29" s="44">
        <f>'3_Levels 1&amp;2'!AP29</f>
        <v>71198095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-612343</v>
      </c>
      <c r="W29" s="44">
        <v>-43303</v>
      </c>
      <c r="X29" s="44">
        <v>-5640</v>
      </c>
      <c r="Y29" s="44">
        <v>0</v>
      </c>
      <c r="Z29" s="44">
        <v>0</v>
      </c>
      <c r="AA29" s="44">
        <v>0</v>
      </c>
      <c r="AB29" s="44">
        <v>-24690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-206237</v>
      </c>
      <c r="AI29" s="44">
        <v>-332497</v>
      </c>
      <c r="AJ29" s="45">
        <f t="shared" si="1"/>
        <v>-1224710</v>
      </c>
      <c r="AK29" s="45">
        <f t="shared" si="2"/>
        <v>69973385</v>
      </c>
      <c r="AL29" s="45">
        <f>ROUND(AK29/'8_2.1.21 SIS'!C29,0)</f>
        <v>6089</v>
      </c>
      <c r="AM29" s="46">
        <f>VLOOKUP($A29,[1]LEA_Summary!$A$7:$O$139,COLUMN([1]LEA_Summary!$I:$I),FALSE)</f>
        <v>-46362</v>
      </c>
      <c r="AN29" s="44">
        <f t="shared" si="5"/>
        <v>0</v>
      </c>
      <c r="AO29" s="44">
        <f t="shared" si="6"/>
        <v>-46362</v>
      </c>
      <c r="AP29" s="44"/>
      <c r="AQ29" s="44"/>
      <c r="AR29" s="46">
        <f t="shared" si="7"/>
        <v>0</v>
      </c>
      <c r="AS29" s="45">
        <f t="shared" si="8"/>
        <v>69927023</v>
      </c>
      <c r="AT29" s="44">
        <f>VLOOKUP($A29,'4_Level 4'!$A$7:$AP$139,COLUMN('4_Level 4'!$E:$E),FALSE)</f>
        <v>210000</v>
      </c>
      <c r="AU29" s="44">
        <f>VLOOKUP($A29,'4_Level 4'!$A$7:$AP$139,COLUMN('4_Level 4'!$Q:$Q),FALSE)</f>
        <v>301549</v>
      </c>
      <c r="AV29" s="44">
        <f>VLOOKUP($A29,'4_Level 4'!$A$7:$AP$139,COLUMN('4_Level 4'!$AC:$AC),FALSE)</f>
        <v>1659048</v>
      </c>
      <c r="AW29" s="44">
        <f>VLOOKUP($A29,'4_Level 4'!$A$7:$AP$139,COLUMN('4_Level 4'!$AO:$AO),FALSE)</f>
        <v>1327239</v>
      </c>
      <c r="AX29" s="45">
        <f t="shared" si="3"/>
        <v>73424859</v>
      </c>
      <c r="AY29" s="44"/>
      <c r="AZ29" s="44">
        <f t="shared" si="9"/>
        <v>73424859</v>
      </c>
      <c r="BA29" s="44">
        <f t="shared" si="4"/>
        <v>6118738</v>
      </c>
      <c r="BB29" s="44">
        <f>VLOOKUP($A29,'4_Level 4'!$A$7:$AP$139,COLUMN('4_Level 4'!$J:$J),FALSE)</f>
        <v>0</v>
      </c>
      <c r="BC29" s="44">
        <f>VLOOKUP($A29,'4_Level 4'!$A$7:$AP$139,COLUMN('4_Level 4'!$L:$L),FALSE)</f>
        <v>314505</v>
      </c>
      <c r="BD29" s="44">
        <f>VLOOKUP($A29,'4_Level 4'!$A$7:$AP$139,COLUMN('4_Level 4'!$M:$M),FALSE)</f>
        <v>0</v>
      </c>
      <c r="BE29" s="45">
        <f t="shared" si="10"/>
        <v>73739364</v>
      </c>
    </row>
    <row r="30" spans="1:57" ht="15.6" customHeight="1" x14ac:dyDescent="0.2">
      <c r="A30" s="42">
        <v>24</v>
      </c>
      <c r="B30" s="43" t="s">
        <v>154</v>
      </c>
      <c r="C30" s="44">
        <f>'3_Levels 1&amp;2'!AP30</f>
        <v>11890001</v>
      </c>
      <c r="D30" s="44">
        <v>0</v>
      </c>
      <c r="E30" s="44">
        <v>-5209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-51466</v>
      </c>
      <c r="N30" s="44">
        <v>0</v>
      </c>
      <c r="O30" s="44">
        <v>0</v>
      </c>
      <c r="P30" s="44">
        <v>0</v>
      </c>
      <c r="Q30" s="44">
        <v>-2414</v>
      </c>
      <c r="R30" s="44">
        <v>0</v>
      </c>
      <c r="S30" s="44">
        <v>-463824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-9129</v>
      </c>
      <c r="AI30" s="44">
        <v>-37509</v>
      </c>
      <c r="AJ30" s="45">
        <f t="shared" si="1"/>
        <v>-569551</v>
      </c>
      <c r="AK30" s="45">
        <f t="shared" si="2"/>
        <v>11320450</v>
      </c>
      <c r="AL30" s="45">
        <f>ROUND(AK30/'8_2.1.21 SIS'!C30,0)</f>
        <v>2844</v>
      </c>
      <c r="AM30" s="46">
        <f>VLOOKUP($A30,[1]LEA_Summary!$A$7:$O$139,COLUMN([1]LEA_Summary!$I:$I),FALSE)</f>
        <v>0</v>
      </c>
      <c r="AN30" s="44">
        <f t="shared" si="5"/>
        <v>0</v>
      </c>
      <c r="AO30" s="44">
        <f t="shared" si="6"/>
        <v>0</v>
      </c>
      <c r="AP30" s="44"/>
      <c r="AQ30" s="44"/>
      <c r="AR30" s="46">
        <f t="shared" si="7"/>
        <v>0</v>
      </c>
      <c r="AS30" s="45">
        <f t="shared" si="8"/>
        <v>11320450</v>
      </c>
      <c r="AT30" s="44">
        <f>VLOOKUP($A30,'4_Level 4'!$A$7:$AP$139,COLUMN('4_Level 4'!$E:$E),FALSE)</f>
        <v>0</v>
      </c>
      <c r="AU30" s="44">
        <f>VLOOKUP($A30,'4_Level 4'!$A$7:$AP$139,COLUMN('4_Level 4'!$Q:$Q),FALSE)</f>
        <v>110802</v>
      </c>
      <c r="AV30" s="44">
        <f>VLOOKUP($A30,'4_Level 4'!$A$7:$AP$139,COLUMN('4_Level 4'!$AC:$AC),FALSE)</f>
        <v>784291</v>
      </c>
      <c r="AW30" s="44">
        <f>VLOOKUP($A30,'4_Level 4'!$A$7:$AP$139,COLUMN('4_Level 4'!$AO:$AO),FALSE)</f>
        <v>627433</v>
      </c>
      <c r="AX30" s="45">
        <f t="shared" si="3"/>
        <v>12842976</v>
      </c>
      <c r="AY30" s="44"/>
      <c r="AZ30" s="44">
        <f t="shared" si="9"/>
        <v>12842976</v>
      </c>
      <c r="BA30" s="44">
        <f t="shared" si="4"/>
        <v>1070248</v>
      </c>
      <c r="BB30" s="44">
        <f>VLOOKUP($A30,'4_Level 4'!$A$7:$AP$139,COLUMN('4_Level 4'!$J:$J),FALSE)</f>
        <v>0</v>
      </c>
      <c r="BC30" s="44">
        <f>VLOOKUP($A30,'4_Level 4'!$A$7:$AP$139,COLUMN('4_Level 4'!$L:$L),FALSE)</f>
        <v>102124</v>
      </c>
      <c r="BD30" s="44">
        <f>VLOOKUP($A30,'4_Level 4'!$A$7:$AP$139,COLUMN('4_Level 4'!$M:$M),FALSE)</f>
        <v>0</v>
      </c>
      <c r="BE30" s="45">
        <f t="shared" si="10"/>
        <v>12945100</v>
      </c>
    </row>
    <row r="31" spans="1:57" ht="15.6" customHeight="1" x14ac:dyDescent="0.2">
      <c r="A31" s="47">
        <v>25</v>
      </c>
      <c r="B31" s="48" t="s">
        <v>155</v>
      </c>
      <c r="C31" s="49">
        <f>'3_Levels 1&amp;2'!AP31</f>
        <v>12604165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-140178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-76058</v>
      </c>
      <c r="AI31" s="49">
        <v>-28739</v>
      </c>
      <c r="AJ31" s="50">
        <f t="shared" si="1"/>
        <v>-244975</v>
      </c>
      <c r="AK31" s="50">
        <f t="shared" si="2"/>
        <v>12359190</v>
      </c>
      <c r="AL31" s="50">
        <f>ROUND(AK31/'8_2.1.21 SIS'!C31,0)</f>
        <v>5897</v>
      </c>
      <c r="AM31" s="51">
        <f>VLOOKUP($A31,[1]LEA_Summary!$A$7:$O$139,COLUMN([1]LEA_Summary!$I:$I),FALSE)</f>
        <v>-5496</v>
      </c>
      <c r="AN31" s="49">
        <f t="shared" si="5"/>
        <v>0</v>
      </c>
      <c r="AO31" s="49">
        <f t="shared" si="6"/>
        <v>-5496</v>
      </c>
      <c r="AP31" s="49"/>
      <c r="AQ31" s="49"/>
      <c r="AR31" s="51">
        <f t="shared" si="7"/>
        <v>0</v>
      </c>
      <c r="AS31" s="50">
        <f t="shared" si="8"/>
        <v>12353694</v>
      </c>
      <c r="AT31" s="49">
        <f>VLOOKUP($A31,'4_Level 4'!$A$7:$AP$139,COLUMN('4_Level 4'!$E:$E),FALSE)</f>
        <v>0</v>
      </c>
      <c r="AU31" s="49">
        <f>VLOOKUP($A31,'4_Level 4'!$A$7:$AP$139,COLUMN('4_Level 4'!$Q:$Q),FALSE)</f>
        <v>56699</v>
      </c>
      <c r="AV31" s="49">
        <f>VLOOKUP($A31,'4_Level 4'!$A$7:$AP$139,COLUMN('4_Level 4'!$AC:$AC),FALSE)</f>
        <v>335472</v>
      </c>
      <c r="AW31" s="49">
        <f>VLOOKUP($A31,'4_Level 4'!$A$7:$AP$139,COLUMN('4_Level 4'!$AO:$AO),FALSE)</f>
        <v>268379</v>
      </c>
      <c r="AX31" s="50">
        <f t="shared" si="3"/>
        <v>13014244</v>
      </c>
      <c r="AY31" s="49"/>
      <c r="AZ31" s="49">
        <f t="shared" si="9"/>
        <v>13014244</v>
      </c>
      <c r="BA31" s="49">
        <f t="shared" si="4"/>
        <v>1084520</v>
      </c>
      <c r="BB31" s="49">
        <f>VLOOKUP($A31,'4_Level 4'!$A$7:$AP$139,COLUMN('4_Level 4'!$J:$J),FALSE)</f>
        <v>0</v>
      </c>
      <c r="BC31" s="49">
        <f>VLOOKUP($A31,'4_Level 4'!$A$7:$AP$139,COLUMN('4_Level 4'!$L:$L),FALSE)</f>
        <v>62720</v>
      </c>
      <c r="BD31" s="49">
        <f>VLOOKUP($A31,'4_Level 4'!$A$7:$AP$139,COLUMN('4_Level 4'!$M:$M),FALSE)</f>
        <v>0</v>
      </c>
      <c r="BE31" s="50">
        <f t="shared" si="10"/>
        <v>13076964</v>
      </c>
    </row>
    <row r="32" spans="1:57" ht="15.6" customHeight="1" x14ac:dyDescent="0.2">
      <c r="A32" s="36">
        <v>26</v>
      </c>
      <c r="B32" s="37" t="s">
        <v>156</v>
      </c>
      <c r="C32" s="38">
        <f>'3_Levels 1&amp;2'!AP32</f>
        <v>244487700</v>
      </c>
      <c r="D32" s="38">
        <v>0</v>
      </c>
      <c r="E32" s="38">
        <v>0</v>
      </c>
      <c r="F32" s="38">
        <v>0</v>
      </c>
      <c r="G32" s="38">
        <v>-192857</v>
      </c>
      <c r="H32" s="38">
        <v>-3399078</v>
      </c>
      <c r="I32" s="38">
        <v>-1143009</v>
      </c>
      <c r="J32" s="38">
        <v>0</v>
      </c>
      <c r="K32" s="38">
        <v>0</v>
      </c>
      <c r="L32" s="38">
        <v>0</v>
      </c>
      <c r="M32" s="38">
        <v>-7759</v>
      </c>
      <c r="N32" s="38">
        <v>-748583</v>
      </c>
      <c r="O32" s="38">
        <v>0</v>
      </c>
      <c r="P32" s="38">
        <v>0</v>
      </c>
      <c r="Q32" s="38">
        <v>0</v>
      </c>
      <c r="R32" s="38">
        <v>0</v>
      </c>
      <c r="S32" s="38">
        <v>-36933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-37688</v>
      </c>
      <c r="AB32" s="38">
        <v>0</v>
      </c>
      <c r="AC32" s="38">
        <v>0</v>
      </c>
      <c r="AD32" s="38">
        <v>-62037</v>
      </c>
      <c r="AE32" s="38">
        <v>-5087656</v>
      </c>
      <c r="AF32" s="38">
        <v>0</v>
      </c>
      <c r="AG32" s="38">
        <v>0</v>
      </c>
      <c r="AH32" s="38">
        <v>-799682</v>
      </c>
      <c r="AI32" s="38">
        <v>-1140534</v>
      </c>
      <c r="AJ32" s="39">
        <f t="shared" si="1"/>
        <v>-12655816</v>
      </c>
      <c r="AK32" s="39">
        <f t="shared" si="2"/>
        <v>231831884</v>
      </c>
      <c r="AL32" s="39">
        <f>ROUND(AK32/'8_2.1.21 SIS'!C32,0)</f>
        <v>4917</v>
      </c>
      <c r="AM32" s="40">
        <f>VLOOKUP($A32,[1]LEA_Summary!$A$7:$O$139,COLUMN([1]LEA_Summary!$I:$I),FALSE)</f>
        <v>-169622</v>
      </c>
      <c r="AN32" s="38">
        <f t="shared" si="5"/>
        <v>0</v>
      </c>
      <c r="AO32" s="38">
        <f t="shared" si="6"/>
        <v>-169622</v>
      </c>
      <c r="AP32" s="38"/>
      <c r="AQ32" s="38"/>
      <c r="AR32" s="40">
        <f t="shared" si="7"/>
        <v>0</v>
      </c>
      <c r="AS32" s="39">
        <f t="shared" si="8"/>
        <v>231662262</v>
      </c>
      <c r="AT32" s="38">
        <f>VLOOKUP($A32,'4_Level 4'!$A$7:$AP$139,COLUMN('4_Level 4'!$E:$E),FALSE)</f>
        <v>357000</v>
      </c>
      <c r="AU32" s="38">
        <f>VLOOKUP($A32,'4_Level 4'!$A$7:$AP$139,COLUMN('4_Level 4'!$Q:$Q),FALSE)</f>
        <v>1187611</v>
      </c>
      <c r="AV32" s="38">
        <f>VLOOKUP($A32,'4_Level 4'!$A$7:$AP$139,COLUMN('4_Level 4'!$AC:$AC),FALSE)</f>
        <v>6642991</v>
      </c>
      <c r="AW32" s="38">
        <f>VLOOKUP($A32,'4_Level 4'!$A$7:$AP$139,COLUMN('4_Level 4'!$AO:$AO),FALSE)</f>
        <v>5314392</v>
      </c>
      <c r="AX32" s="39">
        <f t="shared" si="3"/>
        <v>245164256</v>
      </c>
      <c r="AY32" s="38"/>
      <c r="AZ32" s="38">
        <f t="shared" si="9"/>
        <v>245164256</v>
      </c>
      <c r="BA32" s="38">
        <f t="shared" si="4"/>
        <v>20430355</v>
      </c>
      <c r="BB32" s="38">
        <f>VLOOKUP($A32,'4_Level 4'!$A$7:$AP$139,COLUMN('4_Level 4'!$J:$J),FALSE)</f>
        <v>0</v>
      </c>
      <c r="BC32" s="38">
        <f>VLOOKUP($A32,'4_Level 4'!$A$7:$AP$139,COLUMN('4_Level 4'!$L:$L),FALSE)</f>
        <v>952010</v>
      </c>
      <c r="BD32" s="38">
        <f>VLOOKUP($A32,'4_Level 4'!$A$7:$AP$139,COLUMN('4_Level 4'!$M:$M),FALSE)</f>
        <v>0</v>
      </c>
      <c r="BE32" s="39">
        <f t="shared" si="10"/>
        <v>246116266</v>
      </c>
    </row>
    <row r="33" spans="1:57" ht="15.6" customHeight="1" x14ac:dyDescent="0.2">
      <c r="A33" s="42">
        <v>27</v>
      </c>
      <c r="B33" s="43" t="s">
        <v>157</v>
      </c>
      <c r="C33" s="44">
        <f>'3_Levels 1&amp;2'!AP33</f>
        <v>36620920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-6056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-100346</v>
      </c>
      <c r="AI33" s="44">
        <v>-51834</v>
      </c>
      <c r="AJ33" s="45">
        <f t="shared" si="1"/>
        <v>-158236</v>
      </c>
      <c r="AK33" s="45">
        <f t="shared" si="2"/>
        <v>36462684</v>
      </c>
      <c r="AL33" s="45">
        <f>ROUND(AK33/'8_2.1.21 SIS'!C33,0)</f>
        <v>6794</v>
      </c>
      <c r="AM33" s="46">
        <f>VLOOKUP($A33,[1]LEA_Summary!$A$7:$O$139,COLUMN([1]LEA_Summary!$I:$I),FALSE)</f>
        <v>5935</v>
      </c>
      <c r="AN33" s="44">
        <f t="shared" si="5"/>
        <v>5935</v>
      </c>
      <c r="AO33" s="44">
        <f t="shared" si="6"/>
        <v>0</v>
      </c>
      <c r="AP33" s="44"/>
      <c r="AQ33" s="44"/>
      <c r="AR33" s="46">
        <f t="shared" si="7"/>
        <v>0</v>
      </c>
      <c r="AS33" s="45">
        <f t="shared" si="8"/>
        <v>36468619</v>
      </c>
      <c r="AT33" s="44">
        <f>VLOOKUP($A33,'4_Level 4'!$A$7:$AP$139,COLUMN('4_Level 4'!$E:$E),FALSE)</f>
        <v>0</v>
      </c>
      <c r="AU33" s="44">
        <f>VLOOKUP($A33,'4_Level 4'!$A$7:$AP$139,COLUMN('4_Level 4'!$Q:$Q),FALSE)</f>
        <v>147205</v>
      </c>
      <c r="AV33" s="44">
        <f>VLOOKUP($A33,'4_Level 4'!$A$7:$AP$139,COLUMN('4_Level 4'!$AC:$AC),FALSE)</f>
        <v>759582</v>
      </c>
      <c r="AW33" s="44">
        <f>VLOOKUP($A33,'4_Level 4'!$A$7:$AP$139,COLUMN('4_Level 4'!$AO:$AO),FALSE)</f>
        <v>607665</v>
      </c>
      <c r="AX33" s="45">
        <f t="shared" si="3"/>
        <v>37983071</v>
      </c>
      <c r="AY33" s="44"/>
      <c r="AZ33" s="44">
        <f t="shared" si="9"/>
        <v>37983071</v>
      </c>
      <c r="BA33" s="44">
        <f t="shared" si="4"/>
        <v>3165256</v>
      </c>
      <c r="BB33" s="44">
        <f>VLOOKUP($A33,'4_Level 4'!$A$7:$AP$139,COLUMN('4_Level 4'!$J:$J),FALSE)</f>
        <v>0</v>
      </c>
      <c r="BC33" s="44">
        <f>VLOOKUP($A33,'4_Level 4'!$A$7:$AP$139,COLUMN('4_Level 4'!$L:$L),FALSE)</f>
        <v>117488</v>
      </c>
      <c r="BD33" s="44">
        <f>VLOOKUP($A33,'4_Level 4'!$A$7:$AP$139,COLUMN('4_Level 4'!$M:$M),FALSE)</f>
        <v>0</v>
      </c>
      <c r="BE33" s="45">
        <f t="shared" si="10"/>
        <v>38100559</v>
      </c>
    </row>
    <row r="34" spans="1:57" ht="15.6" customHeight="1" x14ac:dyDescent="0.2">
      <c r="A34" s="42">
        <v>28</v>
      </c>
      <c r="B34" s="43" t="s">
        <v>158</v>
      </c>
      <c r="C34" s="44">
        <f>'3_Levels 1&amp;2'!AP34</f>
        <v>152194841</v>
      </c>
      <c r="D34" s="44">
        <v>0</v>
      </c>
      <c r="E34" s="44">
        <v>0</v>
      </c>
      <c r="F34" s="44">
        <v>0</v>
      </c>
      <c r="G34" s="44">
        <v>0</v>
      </c>
      <c r="H34" s="44">
        <v>-4254</v>
      </c>
      <c r="I34" s="44">
        <v>0</v>
      </c>
      <c r="J34" s="44">
        <v>-12763</v>
      </c>
      <c r="K34" s="44">
        <v>-139</v>
      </c>
      <c r="L34" s="44">
        <v>0</v>
      </c>
      <c r="M34" s="44">
        <v>-3744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-37036</v>
      </c>
      <c r="T34" s="44">
        <v>0</v>
      </c>
      <c r="U34" s="44">
        <v>0</v>
      </c>
      <c r="V34" s="44">
        <v>-4935611</v>
      </c>
      <c r="W34" s="44">
        <v>-3673428</v>
      </c>
      <c r="X34" s="44">
        <v>-2625448</v>
      </c>
      <c r="Y34" s="44">
        <v>0</v>
      </c>
      <c r="Z34" s="44">
        <v>0</v>
      </c>
      <c r="AA34" s="44">
        <v>0</v>
      </c>
      <c r="AB34" s="44">
        <v>-280041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-357581</v>
      </c>
      <c r="AI34" s="44">
        <v>-580120</v>
      </c>
      <c r="AJ34" s="45">
        <f t="shared" si="1"/>
        <v>-12510165</v>
      </c>
      <c r="AK34" s="45">
        <f t="shared" si="2"/>
        <v>139684676</v>
      </c>
      <c r="AL34" s="45">
        <f>ROUND(AK34/'8_2.1.21 SIS'!C34,0)</f>
        <v>4543</v>
      </c>
      <c r="AM34" s="46">
        <f>VLOOKUP($A34,[1]LEA_Summary!$A$7:$O$139,COLUMN([1]LEA_Summary!$I:$I),FALSE)</f>
        <v>-76269</v>
      </c>
      <c r="AN34" s="44">
        <f t="shared" si="5"/>
        <v>0</v>
      </c>
      <c r="AO34" s="44">
        <f t="shared" si="6"/>
        <v>-76269</v>
      </c>
      <c r="AP34" s="44"/>
      <c r="AQ34" s="44"/>
      <c r="AR34" s="46">
        <f t="shared" si="7"/>
        <v>0</v>
      </c>
      <c r="AS34" s="45">
        <f t="shared" si="8"/>
        <v>139608407</v>
      </c>
      <c r="AT34" s="44">
        <f>VLOOKUP($A34,'4_Level 4'!$A$7:$AP$139,COLUMN('4_Level 4'!$E:$E),FALSE)</f>
        <v>546000</v>
      </c>
      <c r="AU34" s="44">
        <f>VLOOKUP($A34,'4_Level 4'!$A$7:$AP$139,COLUMN('4_Level 4'!$Q:$Q),FALSE)</f>
        <v>843169</v>
      </c>
      <c r="AV34" s="44">
        <f>VLOOKUP($A34,'4_Level 4'!$A$7:$AP$139,COLUMN('4_Level 4'!$AC:$AC),FALSE)</f>
        <v>4239757</v>
      </c>
      <c r="AW34" s="44">
        <f>VLOOKUP($A34,'4_Level 4'!$A$7:$AP$139,COLUMN('4_Level 4'!$AO:$AO),FALSE)</f>
        <v>3391805</v>
      </c>
      <c r="AX34" s="45">
        <f t="shared" si="3"/>
        <v>148629138</v>
      </c>
      <c r="AY34" s="44"/>
      <c r="AZ34" s="44">
        <f t="shared" si="9"/>
        <v>148629138</v>
      </c>
      <c r="BA34" s="44">
        <f t="shared" si="4"/>
        <v>12385762</v>
      </c>
      <c r="BB34" s="44">
        <f>VLOOKUP($A34,'4_Level 4'!$A$7:$AP$139,COLUMN('4_Level 4'!$J:$J),FALSE)</f>
        <v>0</v>
      </c>
      <c r="BC34" s="44">
        <f>VLOOKUP($A34,'4_Level 4'!$A$7:$AP$139,COLUMN('4_Level 4'!$L:$L),FALSE)</f>
        <v>627745</v>
      </c>
      <c r="BD34" s="44">
        <f>VLOOKUP($A34,'4_Level 4'!$A$7:$AP$139,COLUMN('4_Level 4'!$M:$M),FALSE)</f>
        <v>0</v>
      </c>
      <c r="BE34" s="45">
        <f t="shared" si="10"/>
        <v>149256883</v>
      </c>
    </row>
    <row r="35" spans="1:57" ht="15.6" customHeight="1" x14ac:dyDescent="0.2">
      <c r="A35" s="42">
        <v>29</v>
      </c>
      <c r="B35" s="43" t="s">
        <v>159</v>
      </c>
      <c r="C35" s="44">
        <f>'3_Levels 1&amp;2'!AP35</f>
        <v>73920553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-361667</v>
      </c>
      <c r="T35" s="44">
        <v>0</v>
      </c>
      <c r="U35" s="44">
        <v>0</v>
      </c>
      <c r="V35" s="44">
        <v>-45698</v>
      </c>
      <c r="W35" s="44">
        <v>-15501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-159518</v>
      </c>
      <c r="AI35" s="44">
        <v>-325328</v>
      </c>
      <c r="AJ35" s="45">
        <f t="shared" si="1"/>
        <v>-907712</v>
      </c>
      <c r="AK35" s="45">
        <f t="shared" si="2"/>
        <v>73012841</v>
      </c>
      <c r="AL35" s="45">
        <f>ROUND(AK35/'8_2.1.21 SIS'!C35,0)</f>
        <v>5269</v>
      </c>
      <c r="AM35" s="46">
        <f>VLOOKUP($A35,[1]LEA_Summary!$A$7:$O$139,COLUMN([1]LEA_Summary!$I:$I),FALSE)</f>
        <v>-2260</v>
      </c>
      <c r="AN35" s="44">
        <f t="shared" si="5"/>
        <v>0</v>
      </c>
      <c r="AO35" s="44">
        <f t="shared" si="6"/>
        <v>-2260</v>
      </c>
      <c r="AP35" s="44"/>
      <c r="AQ35" s="44"/>
      <c r="AR35" s="46">
        <f t="shared" si="7"/>
        <v>0</v>
      </c>
      <c r="AS35" s="45">
        <f t="shared" si="8"/>
        <v>73010581</v>
      </c>
      <c r="AT35" s="44">
        <f>VLOOKUP($A35,'4_Level 4'!$A$7:$AP$139,COLUMN('4_Level 4'!$E:$E),FALSE)</f>
        <v>315000</v>
      </c>
      <c r="AU35" s="44">
        <f>VLOOKUP($A35,'4_Level 4'!$A$7:$AP$139,COLUMN('4_Level 4'!$Q:$Q),FALSE)</f>
        <v>367275</v>
      </c>
      <c r="AV35" s="44">
        <f>VLOOKUP($A35,'4_Level 4'!$A$7:$AP$139,COLUMN('4_Level 4'!$AC:$AC),FALSE)</f>
        <v>1853903</v>
      </c>
      <c r="AW35" s="44">
        <f>VLOOKUP($A35,'4_Level 4'!$A$7:$AP$139,COLUMN('4_Level 4'!$AO:$AO),FALSE)</f>
        <v>1483122</v>
      </c>
      <c r="AX35" s="45">
        <f t="shared" si="3"/>
        <v>77029881</v>
      </c>
      <c r="AY35" s="44"/>
      <c r="AZ35" s="44">
        <f t="shared" si="9"/>
        <v>77029881</v>
      </c>
      <c r="BA35" s="44">
        <f t="shared" si="4"/>
        <v>6419157</v>
      </c>
      <c r="BB35" s="44">
        <f>VLOOKUP($A35,'4_Level 4'!$A$7:$AP$139,COLUMN('4_Level 4'!$J:$J),FALSE)</f>
        <v>0</v>
      </c>
      <c r="BC35" s="44">
        <f>VLOOKUP($A35,'4_Level 4'!$A$7:$AP$139,COLUMN('4_Level 4'!$L:$L),FALSE)</f>
        <v>463262</v>
      </c>
      <c r="BD35" s="44">
        <f>VLOOKUP($A35,'4_Level 4'!$A$7:$AP$139,COLUMN('4_Level 4'!$M:$M),FALSE)</f>
        <v>0</v>
      </c>
      <c r="BE35" s="45">
        <f t="shared" si="10"/>
        <v>77493143</v>
      </c>
    </row>
    <row r="36" spans="1:57" ht="15.6" customHeight="1" x14ac:dyDescent="0.2">
      <c r="A36" s="47">
        <v>30</v>
      </c>
      <c r="B36" s="48" t="s">
        <v>160</v>
      </c>
      <c r="C36" s="49">
        <f>'3_Levels 1&amp;2'!AP36</f>
        <v>16683788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-12023</v>
      </c>
      <c r="AI36" s="49">
        <v>-72173</v>
      </c>
      <c r="AJ36" s="50">
        <f t="shared" si="1"/>
        <v>-84196</v>
      </c>
      <c r="AK36" s="50">
        <f t="shared" si="2"/>
        <v>16599592</v>
      </c>
      <c r="AL36" s="50">
        <f>ROUND(AK36/'8_2.1.21 SIS'!C36,0)</f>
        <v>6851</v>
      </c>
      <c r="AM36" s="51">
        <f>VLOOKUP($A36,[1]LEA_Summary!$A$7:$O$139,COLUMN([1]LEA_Summary!$I:$I),FALSE)</f>
        <v>-5334</v>
      </c>
      <c r="AN36" s="49">
        <f t="shared" si="5"/>
        <v>0</v>
      </c>
      <c r="AO36" s="49">
        <f t="shared" si="6"/>
        <v>-5334</v>
      </c>
      <c r="AP36" s="49"/>
      <c r="AQ36" s="49"/>
      <c r="AR36" s="51">
        <f t="shared" si="7"/>
        <v>0</v>
      </c>
      <c r="AS36" s="50">
        <f t="shared" si="8"/>
        <v>16594258</v>
      </c>
      <c r="AT36" s="49">
        <f>VLOOKUP($A36,'4_Level 4'!$A$7:$AP$139,COLUMN('4_Level 4'!$E:$E),FALSE)</f>
        <v>0</v>
      </c>
      <c r="AU36" s="49">
        <f>VLOOKUP($A36,'4_Level 4'!$A$7:$AP$139,COLUMN('4_Level 4'!$Q:$Q),FALSE)</f>
        <v>65136</v>
      </c>
      <c r="AV36" s="49">
        <f>VLOOKUP($A36,'4_Level 4'!$A$7:$AP$139,COLUMN('4_Level 4'!$AC:$AC),FALSE)</f>
        <v>378782</v>
      </c>
      <c r="AW36" s="49">
        <f>VLOOKUP($A36,'4_Level 4'!$A$7:$AP$139,COLUMN('4_Level 4'!$AO:$AO),FALSE)</f>
        <v>303027</v>
      </c>
      <c r="AX36" s="50">
        <f t="shared" si="3"/>
        <v>17341203</v>
      </c>
      <c r="AY36" s="49"/>
      <c r="AZ36" s="49">
        <f t="shared" si="9"/>
        <v>17341203</v>
      </c>
      <c r="BA36" s="49">
        <f t="shared" si="4"/>
        <v>1445100</v>
      </c>
      <c r="BB36" s="49">
        <f>VLOOKUP($A36,'4_Level 4'!$A$7:$AP$139,COLUMN('4_Level 4'!$J:$J),FALSE)</f>
        <v>0</v>
      </c>
      <c r="BC36" s="49">
        <f>VLOOKUP($A36,'4_Level 4'!$A$7:$AP$139,COLUMN('4_Level 4'!$L:$L),FALSE)</f>
        <v>58021</v>
      </c>
      <c r="BD36" s="49">
        <f>VLOOKUP($A36,'4_Level 4'!$A$7:$AP$139,COLUMN('4_Level 4'!$M:$M),FALSE)</f>
        <v>0</v>
      </c>
      <c r="BE36" s="50">
        <f t="shared" si="10"/>
        <v>17399224</v>
      </c>
    </row>
    <row r="37" spans="1:57" ht="15.6" customHeight="1" x14ac:dyDescent="0.2">
      <c r="A37" s="36">
        <v>31</v>
      </c>
      <c r="B37" s="37" t="s">
        <v>161</v>
      </c>
      <c r="C37" s="38">
        <f>'3_Levels 1&amp;2'!AP37</f>
        <v>32982952</v>
      </c>
      <c r="D37" s="38">
        <v>0</v>
      </c>
      <c r="E37" s="38">
        <v>0</v>
      </c>
      <c r="F37" s="38">
        <v>-229925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-28968</v>
      </c>
      <c r="V37" s="38">
        <v>0</v>
      </c>
      <c r="W37" s="38">
        <v>0</v>
      </c>
      <c r="X37" s="38">
        <v>0</v>
      </c>
      <c r="Y37" s="38">
        <v>0</v>
      </c>
      <c r="Z37" s="38">
        <v>-2233679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-110303</v>
      </c>
      <c r="AI37" s="38">
        <v>-74630</v>
      </c>
      <c r="AJ37" s="39">
        <f t="shared" si="1"/>
        <v>-2677505</v>
      </c>
      <c r="AK37" s="39">
        <f t="shared" si="2"/>
        <v>30305447</v>
      </c>
      <c r="AL37" s="39">
        <f>ROUND(AK37/'8_2.1.21 SIS'!C37,0)</f>
        <v>5421</v>
      </c>
      <c r="AM37" s="40">
        <f>VLOOKUP($A37,[1]LEA_Summary!$A$7:$O$139,COLUMN([1]LEA_Summary!$I:$I),FALSE)</f>
        <v>0</v>
      </c>
      <c r="AN37" s="38">
        <f t="shared" si="5"/>
        <v>0</v>
      </c>
      <c r="AO37" s="38">
        <f t="shared" si="6"/>
        <v>0</v>
      </c>
      <c r="AP37" s="38"/>
      <c r="AQ37" s="38"/>
      <c r="AR37" s="40">
        <f t="shared" si="7"/>
        <v>0</v>
      </c>
      <c r="AS37" s="39">
        <f t="shared" si="8"/>
        <v>30305447</v>
      </c>
      <c r="AT37" s="38">
        <f>VLOOKUP($A37,'4_Level 4'!$A$7:$AP$139,COLUMN('4_Level 4'!$E:$E),FALSE)</f>
        <v>42000</v>
      </c>
      <c r="AU37" s="38">
        <f>VLOOKUP($A37,'4_Level 4'!$A$7:$AP$139,COLUMN('4_Level 4'!$Q:$Q),FALSE)</f>
        <v>149860</v>
      </c>
      <c r="AV37" s="38">
        <f>VLOOKUP($A37,'4_Level 4'!$A$7:$AP$139,COLUMN('4_Level 4'!$AC:$AC),FALSE)</f>
        <v>912487</v>
      </c>
      <c r="AW37" s="38">
        <f>VLOOKUP($A37,'4_Level 4'!$A$7:$AP$139,COLUMN('4_Level 4'!$AO:$AO),FALSE)</f>
        <v>729991</v>
      </c>
      <c r="AX37" s="39">
        <f t="shared" si="3"/>
        <v>32139785</v>
      </c>
      <c r="AY37" s="38"/>
      <c r="AZ37" s="38">
        <f t="shared" si="9"/>
        <v>32139785</v>
      </c>
      <c r="BA37" s="38">
        <f t="shared" si="4"/>
        <v>2678315</v>
      </c>
      <c r="BB37" s="38">
        <f>VLOOKUP($A37,'4_Level 4'!$A$7:$AP$139,COLUMN('4_Level 4'!$J:$J),FALSE)</f>
        <v>0</v>
      </c>
      <c r="BC37" s="38">
        <f>VLOOKUP($A37,'4_Level 4'!$A$7:$AP$139,COLUMN('4_Level 4'!$L:$L),FALSE)</f>
        <v>101762</v>
      </c>
      <c r="BD37" s="38">
        <f>VLOOKUP($A37,'4_Level 4'!$A$7:$AP$139,COLUMN('4_Level 4'!$M:$M),FALSE)</f>
        <v>0</v>
      </c>
      <c r="BE37" s="39">
        <f t="shared" si="10"/>
        <v>32241547</v>
      </c>
    </row>
    <row r="38" spans="1:57" ht="15.6" customHeight="1" x14ac:dyDescent="0.2">
      <c r="A38" s="42">
        <v>32</v>
      </c>
      <c r="B38" s="43" t="s">
        <v>162</v>
      </c>
      <c r="C38" s="44">
        <f>'3_Levels 1&amp;2'!AP38</f>
        <v>171581757</v>
      </c>
      <c r="D38" s="44">
        <v>0</v>
      </c>
      <c r="E38" s="44">
        <v>-22855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-161483</v>
      </c>
      <c r="N38" s="44">
        <v>0</v>
      </c>
      <c r="O38" s="44">
        <v>-6113</v>
      </c>
      <c r="P38" s="44">
        <v>0</v>
      </c>
      <c r="Q38" s="44">
        <v>0</v>
      </c>
      <c r="R38" s="44">
        <v>-12624</v>
      </c>
      <c r="S38" s="44">
        <v>-23387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-41662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-199</v>
      </c>
      <c r="AG38" s="44">
        <v>0</v>
      </c>
      <c r="AH38" s="44">
        <v>-572043</v>
      </c>
      <c r="AI38" s="44">
        <v>-1925686</v>
      </c>
      <c r="AJ38" s="45">
        <f t="shared" si="1"/>
        <v>-2766052</v>
      </c>
      <c r="AK38" s="45">
        <f t="shared" si="2"/>
        <v>168815705</v>
      </c>
      <c r="AL38" s="45">
        <f>ROUND(AK38/'8_2.1.21 SIS'!C38,0)</f>
        <v>6657</v>
      </c>
      <c r="AM38" s="46">
        <f>VLOOKUP($A38,[1]LEA_Summary!$A$7:$O$139,COLUMN([1]LEA_Summary!$I:$I),FALSE)</f>
        <v>-82721</v>
      </c>
      <c r="AN38" s="44">
        <f t="shared" si="5"/>
        <v>0</v>
      </c>
      <c r="AO38" s="44">
        <f t="shared" si="6"/>
        <v>-82721</v>
      </c>
      <c r="AP38" s="44"/>
      <c r="AQ38" s="44"/>
      <c r="AR38" s="46">
        <f t="shared" si="7"/>
        <v>0</v>
      </c>
      <c r="AS38" s="45">
        <f t="shared" si="8"/>
        <v>168732984</v>
      </c>
      <c r="AT38" s="44">
        <f>VLOOKUP($A38,'4_Level 4'!$A$7:$AP$139,COLUMN('4_Level 4'!$E:$E),FALSE)</f>
        <v>0</v>
      </c>
      <c r="AU38" s="44">
        <f>VLOOKUP($A38,'4_Level 4'!$A$7:$AP$139,COLUMN('4_Level 4'!$Q:$Q),FALSE)</f>
        <v>676022</v>
      </c>
      <c r="AV38" s="44">
        <f>VLOOKUP($A38,'4_Level 4'!$A$7:$AP$139,COLUMN('4_Level 4'!$AC:$AC),FALSE)</f>
        <v>3595550</v>
      </c>
      <c r="AW38" s="44">
        <f>VLOOKUP($A38,'4_Level 4'!$A$7:$AP$139,COLUMN('4_Level 4'!$AO:$AO),FALSE)</f>
        <v>2876440</v>
      </c>
      <c r="AX38" s="45">
        <f t="shared" si="3"/>
        <v>175880996</v>
      </c>
      <c r="AY38" s="44"/>
      <c r="AZ38" s="44">
        <f t="shared" si="9"/>
        <v>175880996</v>
      </c>
      <c r="BA38" s="44">
        <f t="shared" si="4"/>
        <v>14656750</v>
      </c>
      <c r="BB38" s="44">
        <f>VLOOKUP($A38,'4_Level 4'!$A$7:$AP$139,COLUMN('4_Level 4'!$J:$J),FALSE)</f>
        <v>0</v>
      </c>
      <c r="BC38" s="44">
        <f>VLOOKUP($A38,'4_Level 4'!$A$7:$AP$139,COLUMN('4_Level 4'!$L:$L),FALSE)</f>
        <v>988341</v>
      </c>
      <c r="BD38" s="44">
        <f>VLOOKUP($A38,'4_Level 4'!$A$7:$AP$139,COLUMN('4_Level 4'!$M:$M),FALSE)</f>
        <v>0</v>
      </c>
      <c r="BE38" s="45">
        <f t="shared" si="10"/>
        <v>176869337</v>
      </c>
    </row>
    <row r="39" spans="1:57" ht="15.6" customHeight="1" x14ac:dyDescent="0.2">
      <c r="A39" s="42">
        <v>33</v>
      </c>
      <c r="B39" s="43" t="s">
        <v>163</v>
      </c>
      <c r="C39" s="44">
        <f>'3_Levels 1&amp;2'!AP39</f>
        <v>8852381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-9583</v>
      </c>
      <c r="AI39" s="44">
        <v>-1483527</v>
      </c>
      <c r="AJ39" s="45">
        <f t="shared" si="1"/>
        <v>-1493110</v>
      </c>
      <c r="AK39" s="45">
        <f t="shared" si="2"/>
        <v>7359271</v>
      </c>
      <c r="AL39" s="45">
        <f>ROUND(AK39/'8_2.1.21 SIS'!C39,0)</f>
        <v>6672</v>
      </c>
      <c r="AM39" s="46">
        <f>VLOOKUP($A39,[1]LEA_Summary!$A$7:$O$139,COLUMN([1]LEA_Summary!$I:$I),FALSE)</f>
        <v>-63788</v>
      </c>
      <c r="AN39" s="44">
        <f t="shared" si="5"/>
        <v>0</v>
      </c>
      <c r="AO39" s="44">
        <f t="shared" si="6"/>
        <v>-63788</v>
      </c>
      <c r="AP39" s="44"/>
      <c r="AQ39" s="44"/>
      <c r="AR39" s="46">
        <f t="shared" si="7"/>
        <v>0</v>
      </c>
      <c r="AS39" s="45">
        <f t="shared" si="8"/>
        <v>7295483</v>
      </c>
      <c r="AT39" s="44">
        <f>VLOOKUP($A39,'4_Level 4'!$A$7:$AP$139,COLUMN('4_Level 4'!$E:$E),FALSE)</f>
        <v>0</v>
      </c>
      <c r="AU39" s="44">
        <f>VLOOKUP($A39,'4_Level 4'!$A$7:$AP$139,COLUMN('4_Level 4'!$Q:$Q),FALSE)</f>
        <v>31683</v>
      </c>
      <c r="AV39" s="44">
        <f>VLOOKUP($A39,'4_Level 4'!$A$7:$AP$139,COLUMN('4_Level 4'!$AC:$AC),FALSE)</f>
        <v>191527</v>
      </c>
      <c r="AW39" s="44">
        <f>VLOOKUP($A39,'4_Level 4'!$A$7:$AP$139,COLUMN('4_Level 4'!$AO:$AO),FALSE)</f>
        <v>153221</v>
      </c>
      <c r="AX39" s="45">
        <f t="shared" si="3"/>
        <v>7671914</v>
      </c>
      <c r="AY39" s="44"/>
      <c r="AZ39" s="44">
        <f t="shared" si="9"/>
        <v>7671914</v>
      </c>
      <c r="BA39" s="44">
        <f t="shared" ref="BA39:BA70" si="11">ROUND(AZ39/$BA$77,0)</f>
        <v>639326</v>
      </c>
      <c r="BB39" s="44">
        <f>VLOOKUP($A39,'4_Level 4'!$A$7:$AP$139,COLUMN('4_Level 4'!$J:$J),FALSE)</f>
        <v>0</v>
      </c>
      <c r="BC39" s="44">
        <f>VLOOKUP($A39,'4_Level 4'!$A$7:$AP$139,COLUMN('4_Level 4'!$L:$L),FALSE)</f>
        <v>38861</v>
      </c>
      <c r="BD39" s="44">
        <f>VLOOKUP($A39,'4_Level 4'!$A$7:$AP$139,COLUMN('4_Level 4'!$M:$M),FALSE)</f>
        <v>0</v>
      </c>
      <c r="BE39" s="45">
        <f t="shared" si="10"/>
        <v>7710775</v>
      </c>
    </row>
    <row r="40" spans="1:57" ht="15.6" customHeight="1" x14ac:dyDescent="0.2">
      <c r="A40" s="42">
        <v>34</v>
      </c>
      <c r="B40" s="43" t="s">
        <v>164</v>
      </c>
      <c r="C40" s="44">
        <f>'3_Levels 1&amp;2'!AP40</f>
        <v>23934072</v>
      </c>
      <c r="D40" s="44">
        <v>0</v>
      </c>
      <c r="E40" s="44">
        <v>0</v>
      </c>
      <c r="F40" s="44">
        <v>-18318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-254608</v>
      </c>
      <c r="AI40" s="44">
        <v>-174368</v>
      </c>
      <c r="AJ40" s="45">
        <f t="shared" si="1"/>
        <v>-447294</v>
      </c>
      <c r="AK40" s="45">
        <f t="shared" si="2"/>
        <v>23486778</v>
      </c>
      <c r="AL40" s="45">
        <f>ROUND(AK40/'8_2.1.21 SIS'!C40,0)</f>
        <v>7167</v>
      </c>
      <c r="AM40" s="46">
        <f>VLOOKUP($A40,[1]LEA_Summary!$A$7:$O$139,COLUMN([1]LEA_Summary!$I:$I),FALSE)</f>
        <v>-149516</v>
      </c>
      <c r="AN40" s="44">
        <f t="shared" si="5"/>
        <v>0</v>
      </c>
      <c r="AO40" s="44">
        <f t="shared" si="6"/>
        <v>-149516</v>
      </c>
      <c r="AP40" s="44"/>
      <c r="AQ40" s="44"/>
      <c r="AR40" s="46">
        <f t="shared" si="7"/>
        <v>0</v>
      </c>
      <c r="AS40" s="45">
        <f t="shared" si="8"/>
        <v>23337262</v>
      </c>
      <c r="AT40" s="44">
        <f>VLOOKUP($A40,'4_Level 4'!$A$7:$AP$139,COLUMN('4_Level 4'!$E:$E),FALSE)</f>
        <v>0</v>
      </c>
      <c r="AU40" s="44">
        <f>VLOOKUP($A40,'4_Level 4'!$A$7:$AP$139,COLUMN('4_Level 4'!$Q:$Q),FALSE)</f>
        <v>86258</v>
      </c>
      <c r="AV40" s="44">
        <f>VLOOKUP($A40,'4_Level 4'!$A$7:$AP$139,COLUMN('4_Level 4'!$AC:$AC),FALSE)</f>
        <v>467852</v>
      </c>
      <c r="AW40" s="44">
        <f>VLOOKUP($A40,'4_Level 4'!$A$7:$AP$139,COLUMN('4_Level 4'!$AO:$AO),FALSE)</f>
        <v>374281</v>
      </c>
      <c r="AX40" s="45">
        <f t="shared" si="3"/>
        <v>24265653</v>
      </c>
      <c r="AY40" s="44"/>
      <c r="AZ40" s="44">
        <f t="shared" si="9"/>
        <v>24265653</v>
      </c>
      <c r="BA40" s="44">
        <f t="shared" si="11"/>
        <v>2022138</v>
      </c>
      <c r="BB40" s="44">
        <f>VLOOKUP($A40,'4_Level 4'!$A$7:$AP$139,COLUMN('4_Level 4'!$J:$J),FALSE)</f>
        <v>0</v>
      </c>
      <c r="BC40" s="44">
        <f>VLOOKUP($A40,'4_Level 4'!$A$7:$AP$139,COLUMN('4_Level 4'!$L:$L),FALSE)</f>
        <v>123633</v>
      </c>
      <c r="BD40" s="44">
        <f>VLOOKUP($A40,'4_Level 4'!$A$7:$AP$139,COLUMN('4_Level 4'!$M:$M),FALSE)</f>
        <v>0</v>
      </c>
      <c r="BE40" s="45">
        <f t="shared" si="10"/>
        <v>24389286</v>
      </c>
    </row>
    <row r="41" spans="1:57" ht="15.6" customHeight="1" x14ac:dyDescent="0.2">
      <c r="A41" s="47">
        <v>35</v>
      </c>
      <c r="B41" s="48" t="s">
        <v>165</v>
      </c>
      <c r="C41" s="49">
        <f>'3_Levels 1&amp;2'!AP41</f>
        <v>30365171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-102047</v>
      </c>
      <c r="AI41" s="49">
        <v>-57670</v>
      </c>
      <c r="AJ41" s="50">
        <f t="shared" si="1"/>
        <v>-159717</v>
      </c>
      <c r="AK41" s="50">
        <f t="shared" si="2"/>
        <v>30205454</v>
      </c>
      <c r="AL41" s="50">
        <f>ROUND(AK41/'8_2.1.21 SIS'!C41,0)</f>
        <v>5610</v>
      </c>
      <c r="AM41" s="51">
        <f>VLOOKUP($A41,[1]LEA_Summary!$A$7:$O$139,COLUMN([1]LEA_Summary!$I:$I),FALSE)</f>
        <v>0</v>
      </c>
      <c r="AN41" s="49">
        <f t="shared" si="5"/>
        <v>0</v>
      </c>
      <c r="AO41" s="49">
        <f t="shared" si="6"/>
        <v>0</v>
      </c>
      <c r="AP41" s="49"/>
      <c r="AQ41" s="49"/>
      <c r="AR41" s="51">
        <f t="shared" si="7"/>
        <v>0</v>
      </c>
      <c r="AS41" s="50">
        <f t="shared" si="8"/>
        <v>30205454</v>
      </c>
      <c r="AT41" s="49">
        <f>VLOOKUP($A41,'4_Level 4'!$A$7:$AP$139,COLUMN('4_Level 4'!$E:$E),FALSE)</f>
        <v>0</v>
      </c>
      <c r="AU41" s="49">
        <f>VLOOKUP($A41,'4_Level 4'!$A$7:$AP$139,COLUMN('4_Level 4'!$Q:$Q),FALSE)</f>
        <v>150332</v>
      </c>
      <c r="AV41" s="49">
        <f>VLOOKUP($A41,'4_Level 4'!$A$7:$AP$139,COLUMN('4_Level 4'!$AC:$AC),FALSE)</f>
        <v>828730</v>
      </c>
      <c r="AW41" s="49">
        <f>VLOOKUP($A41,'4_Level 4'!$A$7:$AP$139,COLUMN('4_Level 4'!$AO:$AO),FALSE)</f>
        <v>662984</v>
      </c>
      <c r="AX41" s="50">
        <f t="shared" si="3"/>
        <v>31847500</v>
      </c>
      <c r="AY41" s="49"/>
      <c r="AZ41" s="49">
        <f t="shared" si="9"/>
        <v>31847500</v>
      </c>
      <c r="BA41" s="49">
        <f t="shared" si="11"/>
        <v>2653958</v>
      </c>
      <c r="BB41" s="49">
        <f>VLOOKUP($A41,'4_Level 4'!$A$7:$AP$139,COLUMN('4_Level 4'!$J:$J),FALSE)</f>
        <v>0</v>
      </c>
      <c r="BC41" s="49">
        <f>VLOOKUP($A41,'4_Level 4'!$A$7:$AP$139,COLUMN('4_Level 4'!$L:$L),FALSE)</f>
        <v>140443</v>
      </c>
      <c r="BD41" s="49">
        <f>VLOOKUP($A41,'4_Level 4'!$A$7:$AP$139,COLUMN('4_Level 4'!$M:$M),FALSE)</f>
        <v>0</v>
      </c>
      <c r="BE41" s="50">
        <f t="shared" si="10"/>
        <v>31987943</v>
      </c>
    </row>
    <row r="42" spans="1:57" ht="15.6" customHeight="1" x14ac:dyDescent="0.2">
      <c r="A42" s="36">
        <v>36</v>
      </c>
      <c r="B42" s="37" t="s">
        <v>166</v>
      </c>
      <c r="C42" s="38">
        <f>'3_Levels 1&amp;2'!AP42</f>
        <v>205149669</v>
      </c>
      <c r="D42" s="38">
        <v>0</v>
      </c>
      <c r="E42" s="38">
        <v>0</v>
      </c>
      <c r="F42" s="38">
        <v>0</v>
      </c>
      <c r="G42" s="38">
        <v>-1407546</v>
      </c>
      <c r="H42" s="38">
        <v>-1114988</v>
      </c>
      <c r="I42" s="38">
        <v>-3054187</v>
      </c>
      <c r="J42" s="38">
        <v>0</v>
      </c>
      <c r="K42" s="38">
        <v>0</v>
      </c>
      <c r="L42" s="38">
        <v>0</v>
      </c>
      <c r="M42" s="38">
        <v>-7223</v>
      </c>
      <c r="N42" s="38">
        <v>-84351</v>
      </c>
      <c r="O42" s="38">
        <v>0</v>
      </c>
      <c r="P42" s="38">
        <v>0</v>
      </c>
      <c r="Q42" s="38">
        <v>0</v>
      </c>
      <c r="R42" s="38">
        <v>0</v>
      </c>
      <c r="S42" s="38">
        <v>-15205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-447301</v>
      </c>
      <c r="AB42" s="38">
        <v>0</v>
      </c>
      <c r="AC42" s="38">
        <v>0</v>
      </c>
      <c r="AD42" s="38">
        <v>-704959</v>
      </c>
      <c r="AE42" s="38">
        <v>-534548</v>
      </c>
      <c r="AF42" s="38">
        <v>0</v>
      </c>
      <c r="AG42" s="38">
        <v>0</v>
      </c>
      <c r="AH42" s="38">
        <v>-398636</v>
      </c>
      <c r="AI42" s="38">
        <v>-345757</v>
      </c>
      <c r="AJ42" s="39">
        <f t="shared" si="1"/>
        <v>-8114701</v>
      </c>
      <c r="AK42" s="39">
        <f t="shared" si="2"/>
        <v>197034968</v>
      </c>
      <c r="AL42" s="39">
        <f>ROUND(AK42/'8_2.1.21 SIS'!C42,0)</f>
        <v>4496</v>
      </c>
      <c r="AM42" s="40">
        <f>VLOOKUP($A42,[1]LEA_Summary!$A$7:$O$139,COLUMN([1]LEA_Summary!$I:$I),FALSE)</f>
        <v>-51762</v>
      </c>
      <c r="AN42" s="38">
        <f t="shared" si="5"/>
        <v>0</v>
      </c>
      <c r="AO42" s="38">
        <f t="shared" si="6"/>
        <v>-51762</v>
      </c>
      <c r="AP42" s="38"/>
      <c r="AQ42" s="38"/>
      <c r="AR42" s="40">
        <f t="shared" si="7"/>
        <v>0</v>
      </c>
      <c r="AS42" s="39">
        <f t="shared" si="8"/>
        <v>196983206</v>
      </c>
      <c r="AT42" s="38">
        <f>VLOOKUP($A42,'4_Level 4'!$A$7:$AP$139,COLUMN('4_Level 4'!$E:$E),FALSE)</f>
        <v>525000</v>
      </c>
      <c r="AU42" s="38">
        <f>VLOOKUP($A42,'4_Level 4'!$A$7:$AP$139,COLUMN('4_Level 4'!$Q:$Q),FALSE)</f>
        <v>1191328</v>
      </c>
      <c r="AV42" s="38">
        <f>VLOOKUP($A42,'4_Level 4'!$A$7:$AP$139,COLUMN('4_Level 4'!$AC:$AC),FALSE)</f>
        <v>6375809</v>
      </c>
      <c r="AW42" s="38">
        <f>VLOOKUP($A42,'4_Level 4'!$A$7:$AP$139,COLUMN('4_Level 4'!$AO:$AO),FALSE)</f>
        <v>5100647</v>
      </c>
      <c r="AX42" s="39">
        <f t="shared" si="3"/>
        <v>210175990</v>
      </c>
      <c r="AY42" s="38"/>
      <c r="AZ42" s="38">
        <f t="shared" si="9"/>
        <v>210175990</v>
      </c>
      <c r="BA42" s="38">
        <f t="shared" si="11"/>
        <v>17514666</v>
      </c>
      <c r="BB42" s="38">
        <f>VLOOKUP($A42,'4_Level 4'!$A$7:$AP$139,COLUMN('4_Level 4'!$J:$J),FALSE)</f>
        <v>0</v>
      </c>
      <c r="BC42" s="38">
        <f>VLOOKUP($A42,'4_Level 4'!$A$7:$AP$139,COLUMN('4_Level 4'!$L:$L),FALSE)</f>
        <v>878434</v>
      </c>
      <c r="BD42" s="38">
        <f>VLOOKUP($A42,'4_Level 4'!$A$7:$AP$139,COLUMN('4_Level 4'!$M:$M),FALSE)</f>
        <v>0</v>
      </c>
      <c r="BE42" s="39">
        <f t="shared" si="10"/>
        <v>211054424</v>
      </c>
    </row>
    <row r="43" spans="1:57" ht="15.6" customHeight="1" x14ac:dyDescent="0.2">
      <c r="A43" s="42">
        <v>37</v>
      </c>
      <c r="B43" s="43" t="s">
        <v>167</v>
      </c>
      <c r="C43" s="44">
        <f>'3_Levels 1&amp;2'!AP43</f>
        <v>116904598</v>
      </c>
      <c r="D43" s="44">
        <v>0</v>
      </c>
      <c r="E43" s="44">
        <v>0</v>
      </c>
      <c r="F43" s="44">
        <v>-38952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-5851</v>
      </c>
      <c r="O43" s="44">
        <v>0</v>
      </c>
      <c r="P43" s="44">
        <v>-5851</v>
      </c>
      <c r="Q43" s="44">
        <v>-5851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-76864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-434196</v>
      </c>
      <c r="AI43" s="44">
        <v>-584993</v>
      </c>
      <c r="AJ43" s="45">
        <f t="shared" si="1"/>
        <v>-1152558</v>
      </c>
      <c r="AK43" s="45">
        <f t="shared" si="2"/>
        <v>115752040</v>
      </c>
      <c r="AL43" s="45">
        <f>ROUND(AK43/'8_2.1.21 SIS'!C43,0)</f>
        <v>6447</v>
      </c>
      <c r="AM43" s="46">
        <f>VLOOKUP($A43,[1]LEA_Summary!$A$7:$O$139,COLUMN([1]LEA_Summary!$I:$I),FALSE)</f>
        <v>-17328</v>
      </c>
      <c r="AN43" s="44">
        <f t="shared" si="5"/>
        <v>0</v>
      </c>
      <c r="AO43" s="44">
        <f t="shared" si="6"/>
        <v>-17328</v>
      </c>
      <c r="AP43" s="44"/>
      <c r="AQ43" s="44"/>
      <c r="AR43" s="46">
        <f t="shared" si="7"/>
        <v>0</v>
      </c>
      <c r="AS43" s="45">
        <f t="shared" si="8"/>
        <v>115734712</v>
      </c>
      <c r="AT43" s="44">
        <f>VLOOKUP($A43,'4_Level 4'!$A$7:$AP$139,COLUMN('4_Level 4'!$E:$E),FALSE)</f>
        <v>0</v>
      </c>
      <c r="AU43" s="44">
        <f>VLOOKUP($A43,'4_Level 4'!$A$7:$AP$139,COLUMN('4_Level 4'!$Q:$Q),FALSE)</f>
        <v>482561</v>
      </c>
      <c r="AV43" s="44">
        <f>VLOOKUP($A43,'4_Level 4'!$A$7:$AP$139,COLUMN('4_Level 4'!$AC:$AC),FALSE)</f>
        <v>2799383</v>
      </c>
      <c r="AW43" s="44">
        <f>VLOOKUP($A43,'4_Level 4'!$A$7:$AP$139,COLUMN('4_Level 4'!$AO:$AO),FALSE)</f>
        <v>2239506</v>
      </c>
      <c r="AX43" s="45">
        <f t="shared" si="3"/>
        <v>121256162</v>
      </c>
      <c r="AY43" s="44"/>
      <c r="AZ43" s="44">
        <f t="shared" si="9"/>
        <v>121256162</v>
      </c>
      <c r="BA43" s="44">
        <f t="shared" si="11"/>
        <v>10104680</v>
      </c>
      <c r="BB43" s="44">
        <f>VLOOKUP($A43,'4_Level 4'!$A$7:$AP$139,COLUMN('4_Level 4'!$J:$J),FALSE)</f>
        <v>0</v>
      </c>
      <c r="BC43" s="44">
        <f>VLOOKUP($A43,'4_Level 4'!$A$7:$AP$139,COLUMN('4_Level 4'!$L:$L),FALSE)</f>
        <v>283597</v>
      </c>
      <c r="BD43" s="44">
        <f>VLOOKUP($A43,'4_Level 4'!$A$7:$AP$139,COLUMN('4_Level 4'!$M:$M),FALSE)</f>
        <v>0</v>
      </c>
      <c r="BE43" s="45">
        <f t="shared" si="10"/>
        <v>121539759</v>
      </c>
    </row>
    <row r="44" spans="1:57" ht="15.6" customHeight="1" x14ac:dyDescent="0.2">
      <c r="A44" s="42">
        <v>38</v>
      </c>
      <c r="B44" s="43" t="s">
        <v>168</v>
      </c>
      <c r="C44" s="44">
        <f>'3_Levels 1&amp;2'!AP44</f>
        <v>10721602</v>
      </c>
      <c r="D44" s="44">
        <v>0</v>
      </c>
      <c r="E44" s="44">
        <v>0</v>
      </c>
      <c r="F44" s="44">
        <v>0</v>
      </c>
      <c r="G44" s="44">
        <v>0</v>
      </c>
      <c r="H44" s="44">
        <v>-39925</v>
      </c>
      <c r="I44" s="44">
        <v>-6793</v>
      </c>
      <c r="J44" s="44">
        <v>0</v>
      </c>
      <c r="K44" s="44">
        <v>0</v>
      </c>
      <c r="L44" s="44">
        <v>0</v>
      </c>
      <c r="M44" s="44">
        <v>0</v>
      </c>
      <c r="N44" s="44">
        <v>-2324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-2485</v>
      </c>
      <c r="AE44" s="44">
        <v>-19880</v>
      </c>
      <c r="AF44" s="44">
        <v>0</v>
      </c>
      <c r="AG44" s="44">
        <v>0</v>
      </c>
      <c r="AH44" s="44">
        <v>-23851</v>
      </c>
      <c r="AI44" s="44">
        <v>-37179</v>
      </c>
      <c r="AJ44" s="45">
        <f t="shared" si="1"/>
        <v>-132437</v>
      </c>
      <c r="AK44" s="45">
        <f t="shared" si="2"/>
        <v>10589165</v>
      </c>
      <c r="AL44" s="45">
        <f>ROUND(AK44/'8_2.1.21 SIS'!C44,0)</f>
        <v>2820</v>
      </c>
      <c r="AM44" s="46">
        <f>VLOOKUP($A44,[1]LEA_Summary!$A$7:$O$139,COLUMN([1]LEA_Summary!$I:$I),FALSE)</f>
        <v>-2786</v>
      </c>
      <c r="AN44" s="44">
        <f t="shared" si="5"/>
        <v>0</v>
      </c>
      <c r="AO44" s="44">
        <f t="shared" si="6"/>
        <v>-2786</v>
      </c>
      <c r="AP44" s="44"/>
      <c r="AQ44" s="44"/>
      <c r="AR44" s="46">
        <f t="shared" si="7"/>
        <v>0</v>
      </c>
      <c r="AS44" s="45">
        <f t="shared" si="8"/>
        <v>10586379</v>
      </c>
      <c r="AT44" s="44">
        <f>VLOOKUP($A44,'4_Level 4'!$A$7:$AP$139,COLUMN('4_Level 4'!$E:$E),FALSE)</f>
        <v>0</v>
      </c>
      <c r="AU44" s="44">
        <f>VLOOKUP($A44,'4_Level 4'!$A$7:$AP$139,COLUMN('4_Level 4'!$Q:$Q),FALSE)</f>
        <v>109150</v>
      </c>
      <c r="AV44" s="44">
        <f>VLOOKUP($A44,'4_Level 4'!$A$7:$AP$139,COLUMN('4_Level 4'!$AC:$AC),FALSE)</f>
        <v>632767</v>
      </c>
      <c r="AW44" s="44">
        <f>VLOOKUP($A44,'4_Level 4'!$A$7:$AP$139,COLUMN('4_Level 4'!$AO:$AO),FALSE)</f>
        <v>506213</v>
      </c>
      <c r="AX44" s="45">
        <f t="shared" si="3"/>
        <v>11834509</v>
      </c>
      <c r="AY44" s="44"/>
      <c r="AZ44" s="44">
        <f t="shared" si="9"/>
        <v>11834509</v>
      </c>
      <c r="BA44" s="44">
        <f t="shared" si="11"/>
        <v>986209</v>
      </c>
      <c r="BB44" s="44">
        <f>VLOOKUP($A44,'4_Level 4'!$A$7:$AP$139,COLUMN('4_Level 4'!$J:$J),FALSE)</f>
        <v>0</v>
      </c>
      <c r="BC44" s="44">
        <f>VLOOKUP($A44,'4_Level 4'!$A$7:$AP$139,COLUMN('4_Level 4'!$L:$L),FALSE)</f>
        <v>54044</v>
      </c>
      <c r="BD44" s="44">
        <f>VLOOKUP($A44,'4_Level 4'!$A$7:$AP$139,COLUMN('4_Level 4'!$M:$M),FALSE)</f>
        <v>0</v>
      </c>
      <c r="BE44" s="45">
        <f t="shared" si="10"/>
        <v>11888553</v>
      </c>
    </row>
    <row r="45" spans="1:57" ht="15.6" customHeight="1" x14ac:dyDescent="0.2">
      <c r="A45" s="42">
        <v>39</v>
      </c>
      <c r="B45" s="43" t="s">
        <v>169</v>
      </c>
      <c r="C45" s="44">
        <f>'3_Levels 1&amp;2'!AP45</f>
        <v>10003571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-38024</v>
      </c>
      <c r="N45" s="44">
        <v>0</v>
      </c>
      <c r="O45" s="44">
        <v>0</v>
      </c>
      <c r="P45" s="44">
        <v>0</v>
      </c>
      <c r="Q45" s="44">
        <v>0</v>
      </c>
      <c r="R45" s="44">
        <v>-13078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-42263</v>
      </c>
      <c r="AI45" s="44">
        <v>-75136</v>
      </c>
      <c r="AJ45" s="45">
        <f t="shared" si="1"/>
        <v>-168501</v>
      </c>
      <c r="AK45" s="45">
        <f t="shared" si="2"/>
        <v>9835070</v>
      </c>
      <c r="AL45" s="45">
        <f>ROUND(AK45/'8_2.1.21 SIS'!C45,0)</f>
        <v>3901</v>
      </c>
      <c r="AM45" s="46">
        <f>VLOOKUP($A45,[1]LEA_Summary!$A$7:$O$139,COLUMN([1]LEA_Summary!$I:$I),FALSE)</f>
        <v>-11469</v>
      </c>
      <c r="AN45" s="44">
        <f t="shared" si="5"/>
        <v>0</v>
      </c>
      <c r="AO45" s="44">
        <f t="shared" si="6"/>
        <v>-11469</v>
      </c>
      <c r="AP45" s="44"/>
      <c r="AQ45" s="44"/>
      <c r="AR45" s="46">
        <f t="shared" si="7"/>
        <v>0</v>
      </c>
      <c r="AS45" s="45">
        <f t="shared" si="8"/>
        <v>9823601</v>
      </c>
      <c r="AT45" s="44">
        <f>VLOOKUP($A45,'4_Level 4'!$A$7:$AP$139,COLUMN('4_Level 4'!$E:$E),FALSE)</f>
        <v>84000</v>
      </c>
      <c r="AU45" s="44">
        <f>VLOOKUP($A45,'4_Level 4'!$A$7:$AP$139,COLUMN('4_Level 4'!$Q:$Q),FALSE)</f>
        <v>65077</v>
      </c>
      <c r="AV45" s="44">
        <f>VLOOKUP($A45,'4_Level 4'!$A$7:$AP$139,COLUMN('4_Level 4'!$AC:$AC),FALSE)</f>
        <v>276013</v>
      </c>
      <c r="AW45" s="44">
        <f>VLOOKUP($A45,'4_Level 4'!$A$7:$AP$139,COLUMN('4_Level 4'!$AO:$AO),FALSE)</f>
        <v>220810</v>
      </c>
      <c r="AX45" s="45">
        <f t="shared" si="3"/>
        <v>10469501</v>
      </c>
      <c r="AY45" s="44"/>
      <c r="AZ45" s="44">
        <f t="shared" si="9"/>
        <v>10469501</v>
      </c>
      <c r="BA45" s="44">
        <f t="shared" si="11"/>
        <v>872458</v>
      </c>
      <c r="BB45" s="44">
        <f>VLOOKUP($A45,'4_Level 4'!$A$7:$AP$139,COLUMN('4_Level 4'!$J:$J),FALSE)</f>
        <v>0</v>
      </c>
      <c r="BC45" s="44">
        <f>VLOOKUP($A45,'4_Level 4'!$A$7:$AP$139,COLUMN('4_Level 4'!$L:$L),FALSE)</f>
        <v>127971</v>
      </c>
      <c r="BD45" s="44">
        <f>VLOOKUP($A45,'4_Level 4'!$A$7:$AP$139,COLUMN('4_Level 4'!$M:$M),FALSE)</f>
        <v>0</v>
      </c>
      <c r="BE45" s="45">
        <f t="shared" si="10"/>
        <v>10597472</v>
      </c>
    </row>
    <row r="46" spans="1:57" ht="15.6" customHeight="1" x14ac:dyDescent="0.2">
      <c r="A46" s="47">
        <v>40</v>
      </c>
      <c r="B46" s="48" t="s">
        <v>170</v>
      </c>
      <c r="C46" s="49">
        <f>'3_Levels 1&amp;2'!AP46</f>
        <v>130655362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-340194</v>
      </c>
      <c r="AI46" s="49">
        <v>-457824</v>
      </c>
      <c r="AJ46" s="50">
        <f t="shared" si="1"/>
        <v>-798018</v>
      </c>
      <c r="AK46" s="50">
        <f t="shared" si="2"/>
        <v>129857344</v>
      </c>
      <c r="AL46" s="50">
        <f>ROUND(AK46/'8_2.1.21 SIS'!C46,0)</f>
        <v>6117</v>
      </c>
      <c r="AM46" s="51">
        <f>VLOOKUP($A46,[1]LEA_Summary!$A$7:$O$139,COLUMN([1]LEA_Summary!$I:$I),FALSE)</f>
        <v>-110269</v>
      </c>
      <c r="AN46" s="49">
        <f t="shared" si="5"/>
        <v>0</v>
      </c>
      <c r="AO46" s="49">
        <f t="shared" si="6"/>
        <v>-110269</v>
      </c>
      <c r="AP46" s="49"/>
      <c r="AQ46" s="49"/>
      <c r="AR46" s="51">
        <f t="shared" si="7"/>
        <v>0</v>
      </c>
      <c r="AS46" s="50">
        <f t="shared" si="8"/>
        <v>129747075</v>
      </c>
      <c r="AT46" s="49">
        <f>VLOOKUP($A46,'4_Level 4'!$A$7:$AP$139,COLUMN('4_Level 4'!$E:$E),FALSE)</f>
        <v>0</v>
      </c>
      <c r="AU46" s="49">
        <f>VLOOKUP($A46,'4_Level 4'!$A$7:$AP$139,COLUMN('4_Level 4'!$Q:$Q),FALSE)</f>
        <v>582212</v>
      </c>
      <c r="AV46" s="49">
        <f>VLOOKUP($A46,'4_Level 4'!$A$7:$AP$139,COLUMN('4_Level 4'!$AC:$AC),FALSE)</f>
        <v>3221348</v>
      </c>
      <c r="AW46" s="49">
        <f>VLOOKUP($A46,'4_Level 4'!$A$7:$AP$139,COLUMN('4_Level 4'!$AO:$AO),FALSE)</f>
        <v>2577079</v>
      </c>
      <c r="AX46" s="50">
        <f t="shared" si="3"/>
        <v>136127714</v>
      </c>
      <c r="AY46" s="49"/>
      <c r="AZ46" s="49">
        <f t="shared" si="9"/>
        <v>136127714</v>
      </c>
      <c r="BA46" s="49">
        <f t="shared" si="11"/>
        <v>11343976</v>
      </c>
      <c r="BB46" s="49">
        <f>VLOOKUP($A46,'4_Level 4'!$A$7:$AP$139,COLUMN('4_Level 4'!$J:$J),FALSE)</f>
        <v>0</v>
      </c>
      <c r="BC46" s="49">
        <f>VLOOKUP($A46,'4_Level 4'!$A$7:$AP$139,COLUMN('4_Level 4'!$L:$L),FALSE)</f>
        <v>599186</v>
      </c>
      <c r="BD46" s="49">
        <f>VLOOKUP($A46,'4_Level 4'!$A$7:$AP$139,COLUMN('4_Level 4'!$M:$M),FALSE)</f>
        <v>0</v>
      </c>
      <c r="BE46" s="50">
        <f t="shared" si="10"/>
        <v>136726900</v>
      </c>
    </row>
    <row r="47" spans="1:57" ht="15.6" customHeight="1" x14ac:dyDescent="0.2">
      <c r="A47" s="36">
        <v>41</v>
      </c>
      <c r="B47" s="37" t="s">
        <v>171</v>
      </c>
      <c r="C47" s="38">
        <f>'3_Levels 1&amp;2'!AP47</f>
        <v>4350944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-8846</v>
      </c>
      <c r="AI47" s="38">
        <v>-6110</v>
      </c>
      <c r="AJ47" s="39">
        <f t="shared" si="1"/>
        <v>-14956</v>
      </c>
      <c r="AK47" s="39">
        <f t="shared" si="2"/>
        <v>4335988</v>
      </c>
      <c r="AL47" s="39">
        <f>ROUND(AK47/'8_2.1.21 SIS'!C47,0)</f>
        <v>3491</v>
      </c>
      <c r="AM47" s="40">
        <f>VLOOKUP($A47,[1]LEA_Summary!$A$7:$O$139,COLUMN([1]LEA_Summary!$I:$I),FALSE)</f>
        <v>1387</v>
      </c>
      <c r="AN47" s="38">
        <f t="shared" si="5"/>
        <v>1387</v>
      </c>
      <c r="AO47" s="38">
        <f t="shared" si="6"/>
        <v>0</v>
      </c>
      <c r="AP47" s="38"/>
      <c r="AQ47" s="38"/>
      <c r="AR47" s="40">
        <f t="shared" si="7"/>
        <v>0</v>
      </c>
      <c r="AS47" s="39">
        <f t="shared" si="8"/>
        <v>4337375</v>
      </c>
      <c r="AT47" s="38">
        <f>VLOOKUP($A47,'4_Level 4'!$A$7:$AP$139,COLUMN('4_Level 4'!$E:$E),FALSE)</f>
        <v>0</v>
      </c>
      <c r="AU47" s="38">
        <f>VLOOKUP($A47,'4_Level 4'!$A$7:$AP$139,COLUMN('4_Level 4'!$Q:$Q),FALSE)</f>
        <v>35636</v>
      </c>
      <c r="AV47" s="38">
        <f>VLOOKUP($A47,'4_Level 4'!$A$7:$AP$139,COLUMN('4_Level 4'!$AC:$AC),FALSE)</f>
        <v>230392</v>
      </c>
      <c r="AW47" s="38">
        <f>VLOOKUP($A47,'4_Level 4'!$A$7:$AP$139,COLUMN('4_Level 4'!$AO:$AO),FALSE)</f>
        <v>184313</v>
      </c>
      <c r="AX47" s="39">
        <f t="shared" si="3"/>
        <v>4787716</v>
      </c>
      <c r="AY47" s="38"/>
      <c r="AZ47" s="38">
        <f t="shared" si="9"/>
        <v>4787716</v>
      </c>
      <c r="BA47" s="38">
        <f t="shared" si="11"/>
        <v>398976</v>
      </c>
      <c r="BB47" s="38">
        <f>VLOOKUP($A47,'4_Level 4'!$A$7:$AP$139,COLUMN('4_Level 4'!$J:$J),FALSE)</f>
        <v>0</v>
      </c>
      <c r="BC47" s="38">
        <f>VLOOKUP($A47,'4_Level 4'!$A$7:$AP$139,COLUMN('4_Level 4'!$L:$L),FALSE)</f>
        <v>27293</v>
      </c>
      <c r="BD47" s="38">
        <f>VLOOKUP($A47,'4_Level 4'!$A$7:$AP$139,COLUMN('4_Level 4'!$M:$M),FALSE)</f>
        <v>0</v>
      </c>
      <c r="BE47" s="39">
        <f t="shared" si="10"/>
        <v>4815009</v>
      </c>
    </row>
    <row r="48" spans="1:57" ht="15.6" customHeight="1" x14ac:dyDescent="0.2">
      <c r="A48" s="42">
        <v>42</v>
      </c>
      <c r="B48" s="43" t="s">
        <v>172</v>
      </c>
      <c r="C48" s="44">
        <f>'3_Levels 1&amp;2'!AP48</f>
        <v>15925529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-34387</v>
      </c>
      <c r="AI48" s="44">
        <v>-96940</v>
      </c>
      <c r="AJ48" s="45">
        <f t="shared" si="1"/>
        <v>-131327</v>
      </c>
      <c r="AK48" s="45">
        <f t="shared" si="2"/>
        <v>15794202</v>
      </c>
      <c r="AL48" s="45">
        <f>ROUND(AK48/'8_2.1.21 SIS'!C48,0)</f>
        <v>5911</v>
      </c>
      <c r="AM48" s="46">
        <f>VLOOKUP($A48,[1]LEA_Summary!$A$7:$O$139,COLUMN([1]LEA_Summary!$I:$I),FALSE)</f>
        <v>-1926</v>
      </c>
      <c r="AN48" s="44">
        <f t="shared" si="5"/>
        <v>0</v>
      </c>
      <c r="AO48" s="44">
        <f t="shared" si="6"/>
        <v>-1926</v>
      </c>
      <c r="AP48" s="44"/>
      <c r="AQ48" s="44"/>
      <c r="AR48" s="46">
        <f t="shared" si="7"/>
        <v>0</v>
      </c>
      <c r="AS48" s="45">
        <f t="shared" si="8"/>
        <v>15792276</v>
      </c>
      <c r="AT48" s="44">
        <f>VLOOKUP($A48,'4_Level 4'!$A$7:$AP$139,COLUMN('4_Level 4'!$E:$E),FALSE)</f>
        <v>0</v>
      </c>
      <c r="AU48" s="44">
        <f>VLOOKUP($A48,'4_Level 4'!$A$7:$AP$139,COLUMN('4_Level 4'!$Q:$Q),FALSE)</f>
        <v>72570</v>
      </c>
      <c r="AV48" s="44">
        <f>VLOOKUP($A48,'4_Level 4'!$A$7:$AP$139,COLUMN('4_Level 4'!$AC:$AC),FALSE)</f>
        <v>380175</v>
      </c>
      <c r="AW48" s="44">
        <f>VLOOKUP($A48,'4_Level 4'!$A$7:$AP$139,COLUMN('4_Level 4'!$AO:$AO),FALSE)</f>
        <v>304140</v>
      </c>
      <c r="AX48" s="45">
        <f t="shared" si="3"/>
        <v>16549161</v>
      </c>
      <c r="AY48" s="44"/>
      <c r="AZ48" s="44">
        <f t="shared" si="9"/>
        <v>16549161</v>
      </c>
      <c r="BA48" s="44">
        <f t="shared" si="11"/>
        <v>1379097</v>
      </c>
      <c r="BB48" s="44">
        <f>VLOOKUP($A48,'4_Level 4'!$A$7:$AP$139,COLUMN('4_Level 4'!$J:$J),FALSE)</f>
        <v>0</v>
      </c>
      <c r="BC48" s="44">
        <f>VLOOKUP($A48,'4_Level 4'!$A$7:$AP$139,COLUMN('4_Level 4'!$L:$L),FALSE)</f>
        <v>67420</v>
      </c>
      <c r="BD48" s="44">
        <f>VLOOKUP($A48,'4_Level 4'!$A$7:$AP$139,COLUMN('4_Level 4'!$M:$M),FALSE)</f>
        <v>0</v>
      </c>
      <c r="BE48" s="45">
        <f t="shared" si="10"/>
        <v>16616581</v>
      </c>
    </row>
    <row r="49" spans="1:57" ht="15.6" customHeight="1" x14ac:dyDescent="0.2">
      <c r="A49" s="42">
        <v>43</v>
      </c>
      <c r="B49" s="43" t="s">
        <v>173</v>
      </c>
      <c r="C49" s="44">
        <f>'3_Levels 1&amp;2'!AP49</f>
        <v>24533464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-5343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-11268</v>
      </c>
      <c r="AI49" s="44">
        <v>-69956</v>
      </c>
      <c r="AJ49" s="45">
        <f t="shared" si="1"/>
        <v>-86567</v>
      </c>
      <c r="AK49" s="45">
        <f t="shared" si="2"/>
        <v>24446897</v>
      </c>
      <c r="AL49" s="45">
        <f>ROUND(AK49/'8_2.1.21 SIS'!C49,0)</f>
        <v>6230</v>
      </c>
      <c r="AM49" s="46">
        <f>VLOOKUP($A49,[1]LEA_Summary!$A$7:$O$139,COLUMN([1]LEA_Summary!$I:$I),FALSE)</f>
        <v>-27127</v>
      </c>
      <c r="AN49" s="44">
        <f t="shared" si="5"/>
        <v>0</v>
      </c>
      <c r="AO49" s="44">
        <f t="shared" si="6"/>
        <v>-27127</v>
      </c>
      <c r="AP49" s="44"/>
      <c r="AQ49" s="44"/>
      <c r="AR49" s="46">
        <f t="shared" si="7"/>
        <v>0</v>
      </c>
      <c r="AS49" s="45">
        <f t="shared" si="8"/>
        <v>24419770</v>
      </c>
      <c r="AT49" s="44">
        <f>VLOOKUP($A49,'4_Level 4'!$A$7:$AP$139,COLUMN('4_Level 4'!$E:$E),FALSE)</f>
        <v>0</v>
      </c>
      <c r="AU49" s="44">
        <f>VLOOKUP($A49,'4_Level 4'!$A$7:$AP$139,COLUMN('4_Level 4'!$Q:$Q),FALSE)</f>
        <v>108206</v>
      </c>
      <c r="AV49" s="44">
        <f>VLOOKUP($A49,'4_Level 4'!$A$7:$AP$139,COLUMN('4_Level 4'!$AC:$AC),FALSE)</f>
        <v>600063</v>
      </c>
      <c r="AW49" s="44">
        <f>VLOOKUP($A49,'4_Level 4'!$A$7:$AP$139,COLUMN('4_Level 4'!$AO:$AO),FALSE)</f>
        <v>480049</v>
      </c>
      <c r="AX49" s="45">
        <f t="shared" si="3"/>
        <v>25608088</v>
      </c>
      <c r="AY49" s="44"/>
      <c r="AZ49" s="44">
        <f t="shared" si="9"/>
        <v>25608088</v>
      </c>
      <c r="BA49" s="44">
        <f t="shared" si="11"/>
        <v>2134007</v>
      </c>
      <c r="BB49" s="44">
        <f>VLOOKUP($A49,'4_Level 4'!$A$7:$AP$139,COLUMN('4_Level 4'!$J:$J),FALSE)</f>
        <v>0</v>
      </c>
      <c r="BC49" s="44">
        <f>VLOOKUP($A49,'4_Level 4'!$A$7:$AP$139,COLUMN('4_Level 4'!$L:$L),FALSE)</f>
        <v>96521</v>
      </c>
      <c r="BD49" s="44">
        <f>VLOOKUP($A49,'4_Level 4'!$A$7:$AP$139,COLUMN('4_Level 4'!$M:$M),FALSE)</f>
        <v>0</v>
      </c>
      <c r="BE49" s="45">
        <f t="shared" si="10"/>
        <v>25704609</v>
      </c>
    </row>
    <row r="50" spans="1:57" ht="15.6" customHeight="1" x14ac:dyDescent="0.2">
      <c r="A50" s="42">
        <v>44</v>
      </c>
      <c r="B50" s="43" t="s">
        <v>174</v>
      </c>
      <c r="C50" s="44">
        <f>'3_Levels 1&amp;2'!AP50</f>
        <v>45680981</v>
      </c>
      <c r="D50" s="44">
        <v>0</v>
      </c>
      <c r="E50" s="44">
        <v>0</v>
      </c>
      <c r="F50" s="44">
        <v>0</v>
      </c>
      <c r="G50" s="44">
        <v>-26862</v>
      </c>
      <c r="H50" s="44">
        <v>-22710</v>
      </c>
      <c r="I50" s="44">
        <v>-32820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-10999</v>
      </c>
      <c r="W50" s="44">
        <v>0</v>
      </c>
      <c r="X50" s="44">
        <v>0</v>
      </c>
      <c r="Y50" s="44">
        <v>0</v>
      </c>
      <c r="Z50" s="44">
        <v>0</v>
      </c>
      <c r="AA50" s="44">
        <v>-4847</v>
      </c>
      <c r="AB50" s="44">
        <v>0</v>
      </c>
      <c r="AC50" s="44">
        <v>0</v>
      </c>
      <c r="AD50" s="44">
        <v>0</v>
      </c>
      <c r="AE50" s="44">
        <v>-26846</v>
      </c>
      <c r="AF50" s="44">
        <v>0</v>
      </c>
      <c r="AG50" s="44">
        <v>0</v>
      </c>
      <c r="AH50" s="44">
        <v>-118101</v>
      </c>
      <c r="AI50" s="44">
        <v>-42174</v>
      </c>
      <c r="AJ50" s="45">
        <f t="shared" si="1"/>
        <v>-285359</v>
      </c>
      <c r="AK50" s="45">
        <f t="shared" si="2"/>
        <v>45395622</v>
      </c>
      <c r="AL50" s="45">
        <f>ROUND(AK50/'8_2.1.21 SIS'!C50,0)</f>
        <v>6018</v>
      </c>
      <c r="AM50" s="46">
        <f>VLOOKUP($A50,[1]LEA_Summary!$A$7:$O$139,COLUMN([1]LEA_Summary!$I:$I),FALSE)</f>
        <v>-15745</v>
      </c>
      <c r="AN50" s="44">
        <f t="shared" si="5"/>
        <v>0</v>
      </c>
      <c r="AO50" s="44">
        <f t="shared" si="6"/>
        <v>-15745</v>
      </c>
      <c r="AP50" s="44"/>
      <c r="AQ50" s="44"/>
      <c r="AR50" s="46">
        <f t="shared" si="7"/>
        <v>0</v>
      </c>
      <c r="AS50" s="45">
        <f t="shared" si="8"/>
        <v>45379877</v>
      </c>
      <c r="AT50" s="44">
        <f>VLOOKUP($A50,'4_Level 4'!$A$7:$AP$139,COLUMN('4_Level 4'!$E:$E),FALSE)</f>
        <v>0</v>
      </c>
      <c r="AU50" s="44">
        <f>VLOOKUP($A50,'4_Level 4'!$A$7:$AP$139,COLUMN('4_Level 4'!$Q:$Q),FALSE)</f>
        <v>204022</v>
      </c>
      <c r="AV50" s="44">
        <f>VLOOKUP($A50,'4_Level 4'!$A$7:$AP$139,COLUMN('4_Level 4'!$AC:$AC),FALSE)</f>
        <v>966457</v>
      </c>
      <c r="AW50" s="44">
        <f>VLOOKUP($A50,'4_Level 4'!$A$7:$AP$139,COLUMN('4_Level 4'!$AO:$AO),FALSE)</f>
        <v>773165</v>
      </c>
      <c r="AX50" s="45">
        <f t="shared" si="3"/>
        <v>47323521</v>
      </c>
      <c r="AY50" s="44"/>
      <c r="AZ50" s="44">
        <f t="shared" si="9"/>
        <v>47323521</v>
      </c>
      <c r="BA50" s="44">
        <f t="shared" si="11"/>
        <v>3943627</v>
      </c>
      <c r="BB50" s="44">
        <f>VLOOKUP($A50,'4_Level 4'!$A$7:$AP$139,COLUMN('4_Level 4'!$J:$J),FALSE)</f>
        <v>0</v>
      </c>
      <c r="BC50" s="44">
        <f>VLOOKUP($A50,'4_Level 4'!$A$7:$AP$139,COLUMN('4_Level 4'!$L:$L),FALSE)</f>
        <v>148396</v>
      </c>
      <c r="BD50" s="44">
        <f>VLOOKUP($A50,'4_Level 4'!$A$7:$AP$139,COLUMN('4_Level 4'!$M:$M),FALSE)</f>
        <v>0</v>
      </c>
      <c r="BE50" s="45">
        <f t="shared" si="10"/>
        <v>47471917</v>
      </c>
    </row>
    <row r="51" spans="1:57" ht="15.6" customHeight="1" x14ac:dyDescent="0.2">
      <c r="A51" s="47">
        <v>45</v>
      </c>
      <c r="B51" s="48" t="s">
        <v>175</v>
      </c>
      <c r="C51" s="49">
        <f>'3_Levels 1&amp;2'!AP51</f>
        <v>27207582</v>
      </c>
      <c r="D51" s="49">
        <v>0</v>
      </c>
      <c r="E51" s="49">
        <v>0</v>
      </c>
      <c r="F51" s="49">
        <v>0</v>
      </c>
      <c r="G51" s="49">
        <v>0</v>
      </c>
      <c r="H51" s="49">
        <v>-5286</v>
      </c>
      <c r="I51" s="49">
        <v>-16440</v>
      </c>
      <c r="J51" s="49">
        <v>0</v>
      </c>
      <c r="K51" s="49">
        <v>0</v>
      </c>
      <c r="L51" s="49">
        <v>0</v>
      </c>
      <c r="M51" s="49">
        <v>0</v>
      </c>
      <c r="N51" s="49">
        <v>-7992</v>
      </c>
      <c r="O51" s="49">
        <v>0</v>
      </c>
      <c r="P51" s="49">
        <v>0</v>
      </c>
      <c r="Q51" s="49">
        <v>0</v>
      </c>
      <c r="R51" s="49">
        <v>0</v>
      </c>
      <c r="S51" s="49">
        <v>-9711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-4604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-68228</v>
      </c>
      <c r="AI51" s="49">
        <v>-44921</v>
      </c>
      <c r="AJ51" s="50">
        <f t="shared" si="1"/>
        <v>-157182</v>
      </c>
      <c r="AK51" s="50">
        <f t="shared" si="2"/>
        <v>27050400</v>
      </c>
      <c r="AL51" s="50">
        <f>ROUND(AK51/'8_2.1.21 SIS'!C51,0)</f>
        <v>2910</v>
      </c>
      <c r="AM51" s="51">
        <f>VLOOKUP($A51,[1]LEA_Summary!$A$7:$O$139,COLUMN([1]LEA_Summary!$I:$I),FALSE)</f>
        <v>-2651</v>
      </c>
      <c r="AN51" s="49">
        <f t="shared" si="5"/>
        <v>0</v>
      </c>
      <c r="AO51" s="49">
        <f t="shared" si="6"/>
        <v>-2651</v>
      </c>
      <c r="AP51" s="49"/>
      <c r="AQ51" s="49"/>
      <c r="AR51" s="51">
        <f t="shared" si="7"/>
        <v>0</v>
      </c>
      <c r="AS51" s="50">
        <f t="shared" si="8"/>
        <v>27047749</v>
      </c>
      <c r="AT51" s="49">
        <f>VLOOKUP($A51,'4_Level 4'!$A$7:$AP$139,COLUMN('4_Level 4'!$E:$E),FALSE)</f>
        <v>0</v>
      </c>
      <c r="AU51" s="49">
        <f>VLOOKUP($A51,'4_Level 4'!$A$7:$AP$139,COLUMN('4_Level 4'!$Q:$Q),FALSE)</f>
        <v>250927</v>
      </c>
      <c r="AV51" s="49">
        <f>VLOOKUP($A51,'4_Level 4'!$A$7:$AP$139,COLUMN('4_Level 4'!$AC:$AC),FALSE)</f>
        <v>1712379</v>
      </c>
      <c r="AW51" s="49">
        <f>VLOOKUP($A51,'4_Level 4'!$A$7:$AP$139,COLUMN('4_Level 4'!$AO:$AO),FALSE)</f>
        <v>1369903</v>
      </c>
      <c r="AX51" s="50">
        <f t="shared" si="3"/>
        <v>30380958</v>
      </c>
      <c r="AY51" s="49"/>
      <c r="AZ51" s="49">
        <f t="shared" si="9"/>
        <v>30380958</v>
      </c>
      <c r="BA51" s="49">
        <f t="shared" si="11"/>
        <v>2531747</v>
      </c>
      <c r="BB51" s="49">
        <f>VLOOKUP($A51,'4_Level 4'!$A$7:$AP$139,COLUMN('4_Level 4'!$J:$J),FALSE)</f>
        <v>0</v>
      </c>
      <c r="BC51" s="49">
        <f>VLOOKUP($A51,'4_Level 4'!$A$7:$AP$139,COLUMN('4_Level 4'!$L:$L),FALSE)</f>
        <v>174605</v>
      </c>
      <c r="BD51" s="49">
        <f>VLOOKUP($A51,'4_Level 4'!$A$7:$AP$139,COLUMN('4_Level 4'!$M:$M),FALSE)</f>
        <v>0</v>
      </c>
      <c r="BE51" s="50">
        <f t="shared" si="10"/>
        <v>30555563</v>
      </c>
    </row>
    <row r="52" spans="1:57" ht="15.6" customHeight="1" x14ac:dyDescent="0.2">
      <c r="A52" s="36">
        <v>46</v>
      </c>
      <c r="B52" s="37" t="s">
        <v>176</v>
      </c>
      <c r="C52" s="38">
        <f>'3_Levels 1&amp;2'!AP52</f>
        <v>9733881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-6760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-27041</v>
      </c>
      <c r="AI52" s="38">
        <v>-65094</v>
      </c>
      <c r="AJ52" s="39">
        <f t="shared" si="1"/>
        <v>-98895</v>
      </c>
      <c r="AK52" s="39">
        <f t="shared" si="2"/>
        <v>9634986</v>
      </c>
      <c r="AL52" s="39">
        <f>ROUND(AK52/'8_2.1.21 SIS'!C52,0)</f>
        <v>8356</v>
      </c>
      <c r="AM52" s="40">
        <f>VLOOKUP($A52,[1]LEA_Summary!$A$7:$O$139,COLUMN([1]LEA_Summary!$I:$I),FALSE)</f>
        <v>-8886</v>
      </c>
      <c r="AN52" s="38">
        <f t="shared" si="5"/>
        <v>0</v>
      </c>
      <c r="AO52" s="38">
        <f t="shared" si="6"/>
        <v>-8886</v>
      </c>
      <c r="AP52" s="38"/>
      <c r="AQ52" s="38"/>
      <c r="AR52" s="40">
        <f t="shared" si="7"/>
        <v>0</v>
      </c>
      <c r="AS52" s="39">
        <f t="shared" si="8"/>
        <v>9626100</v>
      </c>
      <c r="AT52" s="38">
        <f>VLOOKUP($A52,'4_Level 4'!$A$7:$AP$139,COLUMN('4_Level 4'!$E:$E),FALSE)</f>
        <v>0</v>
      </c>
      <c r="AU52" s="38">
        <f>VLOOKUP($A52,'4_Level 4'!$A$7:$AP$139,COLUMN('4_Level 4'!$Q:$Q),FALSE)</f>
        <v>30208</v>
      </c>
      <c r="AV52" s="38">
        <f>VLOOKUP($A52,'4_Level 4'!$A$7:$AP$139,COLUMN('4_Level 4'!$AC:$AC),FALSE)</f>
        <v>161284</v>
      </c>
      <c r="AW52" s="38">
        <f>VLOOKUP($A52,'4_Level 4'!$A$7:$AP$139,COLUMN('4_Level 4'!$AO:$AO),FALSE)</f>
        <v>129027</v>
      </c>
      <c r="AX52" s="39">
        <f t="shared" si="3"/>
        <v>9946619</v>
      </c>
      <c r="AY52" s="38"/>
      <c r="AZ52" s="38">
        <f t="shared" si="9"/>
        <v>9946619</v>
      </c>
      <c r="BA52" s="38">
        <f t="shared" si="11"/>
        <v>828885</v>
      </c>
      <c r="BB52" s="38">
        <f>VLOOKUP($A52,'4_Level 4'!$A$7:$AP$139,COLUMN('4_Level 4'!$J:$J),FALSE)</f>
        <v>0</v>
      </c>
      <c r="BC52" s="38">
        <f>VLOOKUP($A52,'4_Level 4'!$A$7:$AP$139,COLUMN('4_Level 4'!$L:$L),FALSE)</f>
        <v>25000</v>
      </c>
      <c r="BD52" s="38">
        <f>VLOOKUP($A52,'4_Level 4'!$A$7:$AP$139,COLUMN('4_Level 4'!$M:$M),FALSE)</f>
        <v>0</v>
      </c>
      <c r="BE52" s="39">
        <f t="shared" si="10"/>
        <v>9971619</v>
      </c>
    </row>
    <row r="53" spans="1:57" ht="15.6" customHeight="1" x14ac:dyDescent="0.2">
      <c r="A53" s="42">
        <v>47</v>
      </c>
      <c r="B53" s="43" t="s">
        <v>177</v>
      </c>
      <c r="C53" s="44">
        <f>'3_Levels 1&amp;2'!AP53</f>
        <v>9648785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-11890</v>
      </c>
      <c r="AI53" s="44">
        <v>-20124</v>
      </c>
      <c r="AJ53" s="45">
        <f t="shared" si="1"/>
        <v>-32014</v>
      </c>
      <c r="AK53" s="45">
        <f t="shared" si="2"/>
        <v>9616771</v>
      </c>
      <c r="AL53" s="45">
        <f>ROUND(AK53/'8_2.1.21 SIS'!C53,0)</f>
        <v>2871</v>
      </c>
      <c r="AM53" s="46">
        <f>VLOOKUP($A53,[1]LEA_Summary!$A$7:$O$139,COLUMN([1]LEA_Summary!$I:$I),FALSE)</f>
        <v>-8967</v>
      </c>
      <c r="AN53" s="44">
        <f t="shared" si="5"/>
        <v>0</v>
      </c>
      <c r="AO53" s="44">
        <f t="shared" si="6"/>
        <v>-8967</v>
      </c>
      <c r="AP53" s="44"/>
      <c r="AQ53" s="44"/>
      <c r="AR53" s="46">
        <f t="shared" si="7"/>
        <v>0</v>
      </c>
      <c r="AS53" s="45">
        <f t="shared" si="8"/>
        <v>9607804</v>
      </c>
      <c r="AT53" s="44">
        <f>VLOOKUP($A53,'4_Level 4'!$A$7:$AP$139,COLUMN('4_Level 4'!$E:$E),FALSE)</f>
        <v>0</v>
      </c>
      <c r="AU53" s="44">
        <f>VLOOKUP($A53,'4_Level 4'!$A$7:$AP$139,COLUMN('4_Level 4'!$Q:$Q),FALSE)</f>
        <v>92748</v>
      </c>
      <c r="AV53" s="44">
        <f>VLOOKUP($A53,'4_Level 4'!$A$7:$AP$139,COLUMN('4_Level 4'!$AC:$AC),FALSE)</f>
        <v>569851</v>
      </c>
      <c r="AW53" s="44">
        <f>VLOOKUP($A53,'4_Level 4'!$A$7:$AP$139,COLUMN('4_Level 4'!$AO:$AO),FALSE)</f>
        <v>455881</v>
      </c>
      <c r="AX53" s="45">
        <f t="shared" si="3"/>
        <v>10726284</v>
      </c>
      <c r="AY53" s="44"/>
      <c r="AZ53" s="44">
        <f t="shared" si="9"/>
        <v>10726284</v>
      </c>
      <c r="BA53" s="44">
        <f t="shared" si="11"/>
        <v>893857</v>
      </c>
      <c r="BB53" s="44">
        <f>VLOOKUP($A53,'4_Level 4'!$A$7:$AP$139,COLUMN('4_Level 4'!$J:$J),FALSE)</f>
        <v>0</v>
      </c>
      <c r="BC53" s="44">
        <f>VLOOKUP($A53,'4_Level 4'!$A$7:$AP$139,COLUMN('4_Level 4'!$L:$L),FALSE)</f>
        <v>124356</v>
      </c>
      <c r="BD53" s="44">
        <f>VLOOKUP($A53,'4_Level 4'!$A$7:$AP$139,COLUMN('4_Level 4'!$M:$M),FALSE)</f>
        <v>0</v>
      </c>
      <c r="BE53" s="45">
        <f t="shared" si="10"/>
        <v>10850640</v>
      </c>
    </row>
    <row r="54" spans="1:57" ht="15.6" customHeight="1" x14ac:dyDescent="0.2">
      <c r="A54" s="42">
        <v>48</v>
      </c>
      <c r="B54" s="43" t="s">
        <v>178</v>
      </c>
      <c r="C54" s="44">
        <f>'3_Levels 1&amp;2'!AP54</f>
        <v>26910513</v>
      </c>
      <c r="D54" s="44">
        <v>0</v>
      </c>
      <c r="E54" s="44">
        <v>0</v>
      </c>
      <c r="F54" s="44">
        <v>0</v>
      </c>
      <c r="G54" s="44">
        <v>-4234</v>
      </c>
      <c r="H54" s="44">
        <v>0</v>
      </c>
      <c r="I54" s="44">
        <v>-7979</v>
      </c>
      <c r="J54" s="44">
        <v>0</v>
      </c>
      <c r="K54" s="44">
        <v>0</v>
      </c>
      <c r="L54" s="44">
        <v>0</v>
      </c>
      <c r="M54" s="44">
        <v>0</v>
      </c>
      <c r="N54" s="44">
        <v>-8468</v>
      </c>
      <c r="O54" s="44">
        <v>0</v>
      </c>
      <c r="P54" s="44">
        <v>0</v>
      </c>
      <c r="Q54" s="44">
        <v>0</v>
      </c>
      <c r="R54" s="44">
        <v>0</v>
      </c>
      <c r="S54" s="44">
        <v>-8246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-3745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-97138</v>
      </c>
      <c r="AI54" s="44">
        <v>-220832</v>
      </c>
      <c r="AJ54" s="45">
        <f t="shared" si="1"/>
        <v>-350642</v>
      </c>
      <c r="AK54" s="45">
        <f t="shared" si="2"/>
        <v>26559871</v>
      </c>
      <c r="AL54" s="45">
        <f>ROUND(AK54/'8_2.1.21 SIS'!C54,0)</f>
        <v>4868</v>
      </c>
      <c r="AM54" s="46">
        <f>VLOOKUP($A54,[1]LEA_Summary!$A$7:$O$139,COLUMN([1]LEA_Summary!$I:$I),FALSE)</f>
        <v>-46187</v>
      </c>
      <c r="AN54" s="44">
        <f t="shared" si="5"/>
        <v>0</v>
      </c>
      <c r="AO54" s="44">
        <f t="shared" si="6"/>
        <v>-46187</v>
      </c>
      <c r="AP54" s="44"/>
      <c r="AQ54" s="44"/>
      <c r="AR54" s="46">
        <f t="shared" si="7"/>
        <v>0</v>
      </c>
      <c r="AS54" s="45">
        <f t="shared" si="8"/>
        <v>26513684</v>
      </c>
      <c r="AT54" s="44">
        <f>VLOOKUP($A54,'4_Level 4'!$A$7:$AP$139,COLUMN('4_Level 4'!$E:$E),FALSE)</f>
        <v>0</v>
      </c>
      <c r="AU54" s="44">
        <f>VLOOKUP($A54,'4_Level 4'!$A$7:$AP$139,COLUMN('4_Level 4'!$Q:$Q),FALSE)</f>
        <v>150214</v>
      </c>
      <c r="AV54" s="44">
        <f>VLOOKUP($A54,'4_Level 4'!$A$7:$AP$139,COLUMN('4_Level 4'!$AC:$AC),FALSE)</f>
        <v>956091</v>
      </c>
      <c r="AW54" s="44">
        <f>VLOOKUP($A54,'4_Level 4'!$A$7:$AP$139,COLUMN('4_Level 4'!$AO:$AO),FALSE)</f>
        <v>764873</v>
      </c>
      <c r="AX54" s="45">
        <f t="shared" si="3"/>
        <v>28384862</v>
      </c>
      <c r="AY54" s="44"/>
      <c r="AZ54" s="44">
        <f t="shared" si="9"/>
        <v>28384862</v>
      </c>
      <c r="BA54" s="44">
        <f t="shared" si="11"/>
        <v>2365405</v>
      </c>
      <c r="BB54" s="44">
        <f>VLOOKUP($A54,'4_Level 4'!$A$7:$AP$139,COLUMN('4_Level 4'!$J:$J),FALSE)</f>
        <v>0</v>
      </c>
      <c r="BC54" s="44">
        <f>VLOOKUP($A54,'4_Level 4'!$A$7:$AP$139,COLUMN('4_Level 4'!$L:$L),FALSE)</f>
        <v>128694</v>
      </c>
      <c r="BD54" s="44">
        <f>VLOOKUP($A54,'4_Level 4'!$A$7:$AP$139,COLUMN('4_Level 4'!$M:$M),FALSE)</f>
        <v>0</v>
      </c>
      <c r="BE54" s="45">
        <f t="shared" si="10"/>
        <v>28513556</v>
      </c>
    </row>
    <row r="55" spans="1:57" ht="15.6" customHeight="1" x14ac:dyDescent="0.2">
      <c r="A55" s="42">
        <v>49</v>
      </c>
      <c r="B55" s="43" t="s">
        <v>179</v>
      </c>
      <c r="C55" s="44">
        <f>'3_Levels 1&amp;2'!AP55</f>
        <v>76767710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-1381753</v>
      </c>
      <c r="L55" s="44">
        <v>0</v>
      </c>
      <c r="M55" s="44">
        <v>-9802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-20513</v>
      </c>
      <c r="T55" s="44">
        <v>0</v>
      </c>
      <c r="U55" s="44">
        <v>0</v>
      </c>
      <c r="V55" s="44">
        <v>-48901</v>
      </c>
      <c r="W55" s="44">
        <v>-532347</v>
      </c>
      <c r="X55" s="44">
        <v>-112427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-486298</v>
      </c>
      <c r="AI55" s="44">
        <v>-465221</v>
      </c>
      <c r="AJ55" s="45">
        <f t="shared" si="1"/>
        <v>-3057262</v>
      </c>
      <c r="AK55" s="45">
        <f t="shared" si="2"/>
        <v>73710448</v>
      </c>
      <c r="AL55" s="45">
        <f>ROUND(AK55/'8_2.1.21 SIS'!C55,0)</f>
        <v>6035</v>
      </c>
      <c r="AM55" s="46">
        <f>VLOOKUP($A55,[1]LEA_Summary!$A$7:$O$139,COLUMN([1]LEA_Summary!$I:$I),FALSE)</f>
        <v>-62754</v>
      </c>
      <c r="AN55" s="44">
        <f t="shared" si="5"/>
        <v>0</v>
      </c>
      <c r="AO55" s="44">
        <f t="shared" si="6"/>
        <v>-62754</v>
      </c>
      <c r="AP55" s="44"/>
      <c r="AQ55" s="44"/>
      <c r="AR55" s="46">
        <f t="shared" si="7"/>
        <v>0</v>
      </c>
      <c r="AS55" s="45">
        <f t="shared" si="8"/>
        <v>73647694</v>
      </c>
      <c r="AT55" s="44">
        <f>VLOOKUP($A55,'4_Level 4'!$A$7:$AP$139,COLUMN('4_Level 4'!$E:$E),FALSE)</f>
        <v>0</v>
      </c>
      <c r="AU55" s="44">
        <f>VLOOKUP($A55,'4_Level 4'!$A$7:$AP$139,COLUMN('4_Level 4'!$Q:$Q),FALSE)</f>
        <v>318600</v>
      </c>
      <c r="AV55" s="44">
        <f>VLOOKUP($A55,'4_Level 4'!$A$7:$AP$139,COLUMN('4_Level 4'!$AC:$AC),FALSE)</f>
        <v>1850442</v>
      </c>
      <c r="AW55" s="44">
        <f>VLOOKUP($A55,'4_Level 4'!$A$7:$AP$139,COLUMN('4_Level 4'!$AO:$AO),FALSE)</f>
        <v>1480354</v>
      </c>
      <c r="AX55" s="45">
        <f t="shared" si="3"/>
        <v>77297090</v>
      </c>
      <c r="AY55" s="44"/>
      <c r="AZ55" s="44">
        <f t="shared" si="9"/>
        <v>77297090</v>
      </c>
      <c r="BA55" s="44">
        <f t="shared" si="11"/>
        <v>6441424</v>
      </c>
      <c r="BB55" s="44">
        <f>VLOOKUP($A55,'4_Level 4'!$A$7:$AP$139,COLUMN('4_Level 4'!$J:$J),FALSE)</f>
        <v>0</v>
      </c>
      <c r="BC55" s="44">
        <f>VLOOKUP($A55,'4_Level 4'!$A$7:$AP$139,COLUMN('4_Level 4'!$L:$L),FALSE)</f>
        <v>517487</v>
      </c>
      <c r="BD55" s="44">
        <f>VLOOKUP($A55,'4_Level 4'!$A$7:$AP$139,COLUMN('4_Level 4'!$M:$M),FALSE)</f>
        <v>0</v>
      </c>
      <c r="BE55" s="45">
        <f t="shared" si="10"/>
        <v>77814577</v>
      </c>
    </row>
    <row r="56" spans="1:57" ht="15.6" customHeight="1" x14ac:dyDescent="0.2">
      <c r="A56" s="47">
        <v>50</v>
      </c>
      <c r="B56" s="48" t="s">
        <v>180</v>
      </c>
      <c r="C56" s="49">
        <f>'3_Levels 1&amp;2'!AP56</f>
        <v>43046001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-205568</v>
      </c>
      <c r="T56" s="49">
        <v>0</v>
      </c>
      <c r="U56" s="49">
        <v>0</v>
      </c>
      <c r="V56" s="49">
        <v>-369271</v>
      </c>
      <c r="W56" s="49">
        <v>-234258</v>
      </c>
      <c r="X56" s="49">
        <v>-144122</v>
      </c>
      <c r="Y56" s="49">
        <v>0</v>
      </c>
      <c r="Z56" s="49">
        <v>0</v>
      </c>
      <c r="AA56" s="49">
        <v>0</v>
      </c>
      <c r="AB56" s="49">
        <v>-16099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-151397</v>
      </c>
      <c r="AI56" s="49">
        <v>-100266</v>
      </c>
      <c r="AJ56" s="50">
        <f t="shared" si="1"/>
        <v>-1220981</v>
      </c>
      <c r="AK56" s="50">
        <f t="shared" si="2"/>
        <v>41825020</v>
      </c>
      <c r="AL56" s="50">
        <f>ROUND(AK56/'8_2.1.21 SIS'!C56,0)</f>
        <v>5894</v>
      </c>
      <c r="AM56" s="51">
        <f>VLOOKUP($A56,[1]LEA_Summary!$A$7:$O$139,COLUMN([1]LEA_Summary!$I:$I),FALSE)</f>
        <v>-69091</v>
      </c>
      <c r="AN56" s="49">
        <f t="shared" si="5"/>
        <v>0</v>
      </c>
      <c r="AO56" s="49">
        <f t="shared" si="6"/>
        <v>-69091</v>
      </c>
      <c r="AP56" s="49"/>
      <c r="AQ56" s="49"/>
      <c r="AR56" s="51">
        <f t="shared" si="7"/>
        <v>0</v>
      </c>
      <c r="AS56" s="50">
        <f t="shared" si="8"/>
        <v>41755929</v>
      </c>
      <c r="AT56" s="49">
        <f>VLOOKUP($A56,'4_Level 4'!$A$7:$AP$139,COLUMN('4_Level 4'!$E:$E),FALSE)</f>
        <v>168000</v>
      </c>
      <c r="AU56" s="49">
        <f>VLOOKUP($A56,'4_Level 4'!$A$7:$AP$139,COLUMN('4_Level 4'!$Q:$Q),FALSE)</f>
        <v>192281</v>
      </c>
      <c r="AV56" s="49">
        <f>VLOOKUP($A56,'4_Level 4'!$A$7:$AP$139,COLUMN('4_Level 4'!$AC:$AC),FALSE)</f>
        <v>954754</v>
      </c>
      <c r="AW56" s="49">
        <f>VLOOKUP($A56,'4_Level 4'!$A$7:$AP$139,COLUMN('4_Level 4'!$AO:$AO),FALSE)</f>
        <v>763803</v>
      </c>
      <c r="AX56" s="50">
        <f t="shared" si="3"/>
        <v>43834767</v>
      </c>
      <c r="AY56" s="49"/>
      <c r="AZ56" s="49">
        <f t="shared" si="9"/>
        <v>43834767</v>
      </c>
      <c r="BA56" s="49">
        <f t="shared" si="11"/>
        <v>3652897</v>
      </c>
      <c r="BB56" s="49">
        <f>VLOOKUP($A56,'4_Level 4'!$A$7:$AP$139,COLUMN('4_Level 4'!$J:$J),FALSE)</f>
        <v>0</v>
      </c>
      <c r="BC56" s="49">
        <f>VLOOKUP($A56,'4_Level 4'!$A$7:$AP$139,COLUMN('4_Level 4'!$L:$L),FALSE)</f>
        <v>182377</v>
      </c>
      <c r="BD56" s="49">
        <f>VLOOKUP($A56,'4_Level 4'!$A$7:$AP$139,COLUMN('4_Level 4'!$M:$M),FALSE)</f>
        <v>0</v>
      </c>
      <c r="BE56" s="50">
        <f t="shared" si="10"/>
        <v>44017144</v>
      </c>
    </row>
    <row r="57" spans="1:57" ht="15.6" customHeight="1" x14ac:dyDescent="0.2">
      <c r="A57" s="36">
        <v>51</v>
      </c>
      <c r="B57" s="37" t="s">
        <v>181</v>
      </c>
      <c r="C57" s="38">
        <f>'3_Levels 1&amp;2'!AP57</f>
        <v>45350450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-61975</v>
      </c>
      <c r="T57" s="38">
        <v>0</v>
      </c>
      <c r="U57" s="38">
        <v>0</v>
      </c>
      <c r="V57" s="38">
        <v>-5232</v>
      </c>
      <c r="W57" s="38">
        <v>0</v>
      </c>
      <c r="X57" s="38">
        <v>-5070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-76267</v>
      </c>
      <c r="AI57" s="38">
        <v>-122002</v>
      </c>
      <c r="AJ57" s="39">
        <f t="shared" si="1"/>
        <v>-270546</v>
      </c>
      <c r="AK57" s="39">
        <f t="shared" si="2"/>
        <v>45079904</v>
      </c>
      <c r="AL57" s="39">
        <f>ROUND(AK57/'8_2.1.21 SIS'!C57,0)</f>
        <v>5861</v>
      </c>
      <c r="AM57" s="40">
        <f>VLOOKUP($A57,[1]LEA_Summary!$A$7:$O$139,COLUMN([1]LEA_Summary!$I:$I),FALSE)</f>
        <v>-37195</v>
      </c>
      <c r="AN57" s="38">
        <f t="shared" si="5"/>
        <v>0</v>
      </c>
      <c r="AO57" s="38">
        <f t="shared" si="6"/>
        <v>-37195</v>
      </c>
      <c r="AP57" s="38"/>
      <c r="AQ57" s="38"/>
      <c r="AR57" s="40">
        <f t="shared" si="7"/>
        <v>0</v>
      </c>
      <c r="AS57" s="39">
        <f t="shared" si="8"/>
        <v>45042709</v>
      </c>
      <c r="AT57" s="38">
        <f>VLOOKUP($A57,'4_Level 4'!$A$7:$AP$139,COLUMN('4_Level 4'!$E:$E),FALSE)</f>
        <v>0</v>
      </c>
      <c r="AU57" s="38">
        <f>VLOOKUP($A57,'4_Level 4'!$A$7:$AP$139,COLUMN('4_Level 4'!$Q:$Q),FALSE)</f>
        <v>213167</v>
      </c>
      <c r="AV57" s="38">
        <f>VLOOKUP($A57,'4_Level 4'!$A$7:$AP$139,COLUMN('4_Level 4'!$AC:$AC),FALSE)</f>
        <v>1223791</v>
      </c>
      <c r="AW57" s="38">
        <f>VLOOKUP($A57,'4_Level 4'!$A$7:$AP$139,COLUMN('4_Level 4'!$AO:$AO),FALSE)</f>
        <v>979033</v>
      </c>
      <c r="AX57" s="39">
        <f t="shared" si="3"/>
        <v>47458700</v>
      </c>
      <c r="AY57" s="38"/>
      <c r="AZ57" s="38">
        <f t="shared" si="9"/>
        <v>47458700</v>
      </c>
      <c r="BA57" s="38">
        <f t="shared" si="11"/>
        <v>3954892</v>
      </c>
      <c r="BB57" s="38">
        <f>VLOOKUP($A57,'4_Level 4'!$A$7:$AP$139,COLUMN('4_Level 4'!$J:$J),FALSE)</f>
        <v>0</v>
      </c>
      <c r="BC57" s="38">
        <f>VLOOKUP($A57,'4_Level 4'!$A$7:$AP$139,COLUMN('4_Level 4'!$L:$L),FALSE)</f>
        <v>386986</v>
      </c>
      <c r="BD57" s="38">
        <f>VLOOKUP($A57,'4_Level 4'!$A$7:$AP$139,COLUMN('4_Level 4'!$M:$M),FALSE)</f>
        <v>0</v>
      </c>
      <c r="BE57" s="39">
        <f t="shared" si="10"/>
        <v>47845686</v>
      </c>
    </row>
    <row r="58" spans="1:57" ht="15.6" customHeight="1" x14ac:dyDescent="0.2">
      <c r="A58" s="42">
        <v>52</v>
      </c>
      <c r="B58" s="43" t="s">
        <v>182</v>
      </c>
      <c r="C58" s="44">
        <f>'3_Levels 1&amp;2'!AP58</f>
        <v>213143165</v>
      </c>
      <c r="D58" s="44">
        <v>0</v>
      </c>
      <c r="E58" s="44">
        <v>0</v>
      </c>
      <c r="F58" s="44">
        <v>0</v>
      </c>
      <c r="G58" s="44">
        <v>0</v>
      </c>
      <c r="H58" s="44">
        <v>-19743</v>
      </c>
      <c r="I58" s="44">
        <v>-70541</v>
      </c>
      <c r="J58" s="44">
        <v>0</v>
      </c>
      <c r="K58" s="44">
        <v>0</v>
      </c>
      <c r="L58" s="44">
        <v>0</v>
      </c>
      <c r="M58" s="44">
        <v>-18720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-9543</v>
      </c>
      <c r="T58" s="44">
        <v>0</v>
      </c>
      <c r="U58" s="44">
        <v>0</v>
      </c>
      <c r="V58" s="44">
        <v>-5073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-4471</v>
      </c>
      <c r="AE58" s="44">
        <v>-14249</v>
      </c>
      <c r="AF58" s="44">
        <v>0</v>
      </c>
      <c r="AG58" s="44">
        <v>0</v>
      </c>
      <c r="AH58" s="44">
        <v>-703090</v>
      </c>
      <c r="AI58" s="44">
        <v>-1997011</v>
      </c>
      <c r="AJ58" s="45">
        <f t="shared" si="1"/>
        <v>-2842441</v>
      </c>
      <c r="AK58" s="45">
        <f t="shared" si="2"/>
        <v>210300724</v>
      </c>
      <c r="AL58" s="45">
        <f>ROUND(AK58/'8_2.1.21 SIS'!C58,0)</f>
        <v>5750</v>
      </c>
      <c r="AM58" s="46">
        <f>VLOOKUP($A58,[1]LEA_Summary!$A$7:$O$139,COLUMN([1]LEA_Summary!$I:$I),FALSE)</f>
        <v>-116190</v>
      </c>
      <c r="AN58" s="44">
        <f t="shared" si="5"/>
        <v>0</v>
      </c>
      <c r="AO58" s="44">
        <f t="shared" si="6"/>
        <v>-116190</v>
      </c>
      <c r="AP58" s="44"/>
      <c r="AQ58" s="44"/>
      <c r="AR58" s="46">
        <f t="shared" si="7"/>
        <v>0</v>
      </c>
      <c r="AS58" s="45">
        <f t="shared" si="8"/>
        <v>210184534</v>
      </c>
      <c r="AT58" s="44">
        <f>VLOOKUP($A58,'4_Level 4'!$A$7:$AP$139,COLUMN('4_Level 4'!$E:$E),FALSE)</f>
        <v>0</v>
      </c>
      <c r="AU58" s="44">
        <f>VLOOKUP($A58,'4_Level 4'!$A$7:$AP$139,COLUMN('4_Level 4'!$Q:$Q),FALSE)</f>
        <v>1015036</v>
      </c>
      <c r="AV58" s="44">
        <f>VLOOKUP($A58,'4_Level 4'!$A$7:$AP$139,COLUMN('4_Level 4'!$AC:$AC),FALSE)</f>
        <v>5826884</v>
      </c>
      <c r="AW58" s="44">
        <f>VLOOKUP($A58,'4_Level 4'!$A$7:$AP$139,COLUMN('4_Level 4'!$AO:$AO),FALSE)</f>
        <v>4661507</v>
      </c>
      <c r="AX58" s="45">
        <f t="shared" si="3"/>
        <v>221687961</v>
      </c>
      <c r="AY58" s="44"/>
      <c r="AZ58" s="44">
        <f t="shared" si="9"/>
        <v>221687961</v>
      </c>
      <c r="BA58" s="44">
        <f t="shared" si="11"/>
        <v>18473997</v>
      </c>
      <c r="BB58" s="44">
        <f>VLOOKUP($A58,'4_Level 4'!$A$7:$AP$139,COLUMN('4_Level 4'!$J:$J),FALSE)</f>
        <v>0</v>
      </c>
      <c r="BC58" s="44">
        <f>VLOOKUP($A58,'4_Level 4'!$A$7:$AP$139,COLUMN('4_Level 4'!$L:$L),FALSE)</f>
        <v>674017</v>
      </c>
      <c r="BD58" s="44">
        <f>VLOOKUP($A58,'4_Level 4'!$A$7:$AP$139,COLUMN('4_Level 4'!$M:$M),FALSE)</f>
        <v>0</v>
      </c>
      <c r="BE58" s="45">
        <f t="shared" si="10"/>
        <v>222361978</v>
      </c>
    </row>
    <row r="59" spans="1:57" ht="15.6" customHeight="1" x14ac:dyDescent="0.2">
      <c r="A59" s="42">
        <v>53</v>
      </c>
      <c r="B59" s="43" t="s">
        <v>183</v>
      </c>
      <c r="C59" s="44">
        <f>'3_Levels 1&amp;2'!AP59</f>
        <v>117960041</v>
      </c>
      <c r="D59" s="44">
        <v>0</v>
      </c>
      <c r="E59" s="44">
        <v>-5155</v>
      </c>
      <c r="F59" s="44">
        <v>0</v>
      </c>
      <c r="G59" s="44">
        <v>0</v>
      </c>
      <c r="H59" s="44">
        <v>-5556</v>
      </c>
      <c r="I59" s="44">
        <v>-4878</v>
      </c>
      <c r="J59" s="44">
        <v>0</v>
      </c>
      <c r="K59" s="44">
        <v>0</v>
      </c>
      <c r="L59" s="44">
        <v>0</v>
      </c>
      <c r="M59" s="44">
        <v>-38262</v>
      </c>
      <c r="N59" s="44">
        <v>-5556</v>
      </c>
      <c r="O59" s="44">
        <v>0</v>
      </c>
      <c r="P59" s="44">
        <v>0</v>
      </c>
      <c r="Q59" s="44">
        <v>0</v>
      </c>
      <c r="R59" s="44">
        <v>0</v>
      </c>
      <c r="S59" s="44">
        <v>-11112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-471676</v>
      </c>
      <c r="AI59" s="44">
        <v>-1341991</v>
      </c>
      <c r="AJ59" s="45">
        <f t="shared" si="1"/>
        <v>-1884186</v>
      </c>
      <c r="AK59" s="45">
        <f t="shared" si="2"/>
        <v>116075855</v>
      </c>
      <c r="AL59" s="45">
        <f>ROUND(AK59/'8_2.1.21 SIS'!C59,0)</f>
        <v>6183</v>
      </c>
      <c r="AM59" s="46">
        <f>VLOOKUP($A59,[1]LEA_Summary!$A$7:$O$139,COLUMN([1]LEA_Summary!$I:$I),FALSE)</f>
        <v>-7027</v>
      </c>
      <c r="AN59" s="44">
        <f t="shared" si="5"/>
        <v>0</v>
      </c>
      <c r="AO59" s="44">
        <f t="shared" si="6"/>
        <v>-7027</v>
      </c>
      <c r="AP59" s="44"/>
      <c r="AQ59" s="44"/>
      <c r="AR59" s="46">
        <f t="shared" si="7"/>
        <v>0</v>
      </c>
      <c r="AS59" s="45">
        <f t="shared" si="8"/>
        <v>116068828</v>
      </c>
      <c r="AT59" s="44">
        <f>VLOOKUP($A59,'4_Level 4'!$A$7:$AP$139,COLUMN('4_Level 4'!$E:$E),FALSE)</f>
        <v>0</v>
      </c>
      <c r="AU59" s="44">
        <f>VLOOKUP($A59,'4_Level 4'!$A$7:$AP$139,COLUMN('4_Level 4'!$Q:$Q),FALSE)</f>
        <v>513772</v>
      </c>
      <c r="AV59" s="44">
        <f>VLOOKUP($A59,'4_Level 4'!$A$7:$AP$139,COLUMN('4_Level 4'!$AC:$AC),FALSE)</f>
        <v>2795459</v>
      </c>
      <c r="AW59" s="44">
        <f>VLOOKUP($A59,'4_Level 4'!$A$7:$AP$139,COLUMN('4_Level 4'!$AO:$AO),FALSE)</f>
        <v>2236365</v>
      </c>
      <c r="AX59" s="45">
        <f t="shared" si="3"/>
        <v>121614424</v>
      </c>
      <c r="AY59" s="44"/>
      <c r="AZ59" s="44">
        <f t="shared" si="9"/>
        <v>121614424</v>
      </c>
      <c r="BA59" s="44">
        <f t="shared" si="11"/>
        <v>10134535</v>
      </c>
      <c r="BB59" s="44">
        <f>VLOOKUP($A59,'4_Level 4'!$A$7:$AP$139,COLUMN('4_Level 4'!$J:$J),FALSE)</f>
        <v>0</v>
      </c>
      <c r="BC59" s="44">
        <f>VLOOKUP($A59,'4_Level 4'!$A$7:$AP$139,COLUMN('4_Level 4'!$L:$L),FALSE)</f>
        <v>584003</v>
      </c>
      <c r="BD59" s="44">
        <f>VLOOKUP($A59,'4_Level 4'!$A$7:$AP$139,COLUMN('4_Level 4'!$M:$M),FALSE)</f>
        <v>0</v>
      </c>
      <c r="BE59" s="45">
        <f t="shared" si="10"/>
        <v>122198427</v>
      </c>
    </row>
    <row r="60" spans="1:57" ht="15.6" customHeight="1" x14ac:dyDescent="0.2">
      <c r="A60" s="42">
        <v>54</v>
      </c>
      <c r="B60" s="43" t="s">
        <v>184</v>
      </c>
      <c r="C60" s="44">
        <f>'3_Levels 1&amp;2'!AP60</f>
        <v>2361335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-286652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-4782</v>
      </c>
      <c r="AI60" s="44">
        <v>-36628</v>
      </c>
      <c r="AJ60" s="45">
        <f t="shared" si="1"/>
        <v>-328062</v>
      </c>
      <c r="AK60" s="45">
        <f t="shared" si="2"/>
        <v>2033273</v>
      </c>
      <c r="AL60" s="45">
        <f>ROUND(AK60/'8_2.1.21 SIS'!C60,0)</f>
        <v>5928</v>
      </c>
      <c r="AM60" s="46">
        <f>VLOOKUP($A60,[1]LEA_Summary!$A$7:$O$139,COLUMN([1]LEA_Summary!$I:$I),FALSE)</f>
        <v>474</v>
      </c>
      <c r="AN60" s="44">
        <f t="shared" si="5"/>
        <v>474</v>
      </c>
      <c r="AO60" s="44">
        <f t="shared" si="6"/>
        <v>0</v>
      </c>
      <c r="AP60" s="44"/>
      <c r="AQ60" s="44"/>
      <c r="AR60" s="46">
        <f t="shared" si="7"/>
        <v>0</v>
      </c>
      <c r="AS60" s="45">
        <f t="shared" si="8"/>
        <v>2033747</v>
      </c>
      <c r="AT60" s="44">
        <f>VLOOKUP($A60,'4_Level 4'!$A$7:$AP$139,COLUMN('4_Level 4'!$E:$E),FALSE)</f>
        <v>0</v>
      </c>
      <c r="AU60" s="44">
        <f>VLOOKUP($A60,'4_Level 4'!$A$7:$AP$139,COLUMN('4_Level 4'!$Q:$Q),FALSE)</f>
        <v>9558</v>
      </c>
      <c r="AV60" s="44">
        <f>VLOOKUP($A60,'4_Level 4'!$A$7:$AP$139,COLUMN('4_Level 4'!$AC:$AC),FALSE)</f>
        <v>85331</v>
      </c>
      <c r="AW60" s="44">
        <f>VLOOKUP($A60,'4_Level 4'!$A$7:$AP$139,COLUMN('4_Level 4'!$AO:$AO),FALSE)</f>
        <v>68266</v>
      </c>
      <c r="AX60" s="45">
        <f t="shared" si="3"/>
        <v>2196902</v>
      </c>
      <c r="AY60" s="44"/>
      <c r="AZ60" s="44">
        <f t="shared" si="9"/>
        <v>2196902</v>
      </c>
      <c r="BA60" s="44">
        <f t="shared" si="11"/>
        <v>183075</v>
      </c>
      <c r="BB60" s="44">
        <f>VLOOKUP($A60,'4_Level 4'!$A$7:$AP$139,COLUMN('4_Level 4'!$J:$J),FALSE)</f>
        <v>0</v>
      </c>
      <c r="BC60" s="44">
        <f>VLOOKUP($A60,'4_Level 4'!$A$7:$AP$139,COLUMN('4_Level 4'!$L:$L),FALSE)</f>
        <v>25000</v>
      </c>
      <c r="BD60" s="44">
        <f>VLOOKUP($A60,'4_Level 4'!$A$7:$AP$139,COLUMN('4_Level 4'!$M:$M),FALSE)</f>
        <v>0</v>
      </c>
      <c r="BE60" s="45">
        <f t="shared" si="10"/>
        <v>2221902</v>
      </c>
    </row>
    <row r="61" spans="1:57" ht="15.6" customHeight="1" x14ac:dyDescent="0.2">
      <c r="A61" s="47">
        <v>55</v>
      </c>
      <c r="B61" s="48" t="s">
        <v>185</v>
      </c>
      <c r="C61" s="49">
        <f>'3_Levels 1&amp;2'!AP61</f>
        <v>90695153</v>
      </c>
      <c r="D61" s="49">
        <v>0</v>
      </c>
      <c r="E61" s="49">
        <v>0</v>
      </c>
      <c r="F61" s="49">
        <v>0</v>
      </c>
      <c r="G61" s="49">
        <v>-5543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-397530</v>
      </c>
      <c r="T61" s="49">
        <v>0</v>
      </c>
      <c r="U61" s="49">
        <v>0</v>
      </c>
      <c r="V61" s="49">
        <v>-51229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-457726</v>
      </c>
      <c r="AI61" s="49">
        <v>-687416</v>
      </c>
      <c r="AJ61" s="50">
        <f t="shared" si="1"/>
        <v>-1599444</v>
      </c>
      <c r="AK61" s="50">
        <f t="shared" si="2"/>
        <v>89095709</v>
      </c>
      <c r="AL61" s="50">
        <f>ROUND(AK61/'8_2.1.21 SIS'!C61,0)</f>
        <v>5537</v>
      </c>
      <c r="AM61" s="51">
        <f>VLOOKUP($A61,[1]LEA_Summary!$A$7:$O$139,COLUMN([1]LEA_Summary!$I:$I),FALSE)</f>
        <v>-25055</v>
      </c>
      <c r="AN61" s="49">
        <f t="shared" si="5"/>
        <v>0</v>
      </c>
      <c r="AO61" s="49">
        <f t="shared" si="6"/>
        <v>-25055</v>
      </c>
      <c r="AP61" s="49"/>
      <c r="AQ61" s="49"/>
      <c r="AR61" s="51">
        <f t="shared" si="7"/>
        <v>0</v>
      </c>
      <c r="AS61" s="50">
        <f t="shared" si="8"/>
        <v>89070654</v>
      </c>
      <c r="AT61" s="49">
        <f>VLOOKUP($A61,'4_Level 4'!$A$7:$AP$139,COLUMN('4_Level 4'!$E:$E),FALSE)</f>
        <v>0</v>
      </c>
      <c r="AU61" s="49">
        <f>VLOOKUP($A61,'4_Level 4'!$A$7:$AP$139,COLUMN('4_Level 4'!$Q:$Q),FALSE)</f>
        <v>426570</v>
      </c>
      <c r="AV61" s="49">
        <f>VLOOKUP($A61,'4_Level 4'!$A$7:$AP$139,COLUMN('4_Level 4'!$AC:$AC),FALSE)</f>
        <v>2198080</v>
      </c>
      <c r="AW61" s="49">
        <f>VLOOKUP($A61,'4_Level 4'!$A$7:$AP$139,COLUMN('4_Level 4'!$AO:$AO),FALSE)</f>
        <v>1758464</v>
      </c>
      <c r="AX61" s="50">
        <f t="shared" si="3"/>
        <v>93453768</v>
      </c>
      <c r="AY61" s="49"/>
      <c r="AZ61" s="49">
        <f t="shared" si="9"/>
        <v>93453768</v>
      </c>
      <c r="BA61" s="49">
        <f t="shared" si="11"/>
        <v>7787814</v>
      </c>
      <c r="BB61" s="49">
        <f>VLOOKUP($A61,'4_Level 4'!$A$7:$AP$139,COLUMN('4_Level 4'!$J:$J),FALSE)</f>
        <v>0</v>
      </c>
      <c r="BC61" s="49">
        <f>VLOOKUP($A61,'4_Level 4'!$A$7:$AP$139,COLUMN('4_Level 4'!$L:$L),FALSE)</f>
        <v>345956</v>
      </c>
      <c r="BD61" s="49">
        <f>VLOOKUP($A61,'4_Level 4'!$A$7:$AP$139,COLUMN('4_Level 4'!$M:$M),FALSE)</f>
        <v>0</v>
      </c>
      <c r="BE61" s="50">
        <f t="shared" si="10"/>
        <v>93799724</v>
      </c>
    </row>
    <row r="62" spans="1:57" ht="15.6" customHeight="1" x14ac:dyDescent="0.2">
      <c r="A62" s="36">
        <v>56</v>
      </c>
      <c r="B62" s="37" t="s">
        <v>186</v>
      </c>
      <c r="C62" s="38">
        <f>'3_Levels 1&amp;2'!AP62</f>
        <v>19807848</v>
      </c>
      <c r="D62" s="38">
        <v>0</v>
      </c>
      <c r="E62" s="38">
        <v>0</v>
      </c>
      <c r="F62" s="38">
        <v>-5410947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-823474</v>
      </c>
      <c r="V62" s="38">
        <v>0</v>
      </c>
      <c r="W62" s="38">
        <v>0</v>
      </c>
      <c r="X62" s="38">
        <v>0</v>
      </c>
      <c r="Y62" s="38">
        <v>0</v>
      </c>
      <c r="Z62" s="38">
        <v>-300273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-70931</v>
      </c>
      <c r="AI62" s="38">
        <v>-60006</v>
      </c>
      <c r="AJ62" s="39">
        <f t="shared" si="1"/>
        <v>-6665631</v>
      </c>
      <c r="AK62" s="39">
        <f t="shared" si="2"/>
        <v>13142217</v>
      </c>
      <c r="AL62" s="39">
        <f>ROUND(AK62/'8_2.1.21 SIS'!C62,0)</f>
        <v>7073</v>
      </c>
      <c r="AM62" s="40">
        <f>VLOOKUP($A62,[1]LEA_Summary!$A$7:$O$139,COLUMN([1]LEA_Summary!$I:$I),FALSE)</f>
        <v>-1597</v>
      </c>
      <c r="AN62" s="38">
        <f t="shared" si="5"/>
        <v>0</v>
      </c>
      <c r="AO62" s="38">
        <f t="shared" si="6"/>
        <v>-1597</v>
      </c>
      <c r="AP62" s="38"/>
      <c r="AQ62" s="38"/>
      <c r="AR62" s="40">
        <f t="shared" si="7"/>
        <v>0</v>
      </c>
      <c r="AS62" s="39">
        <f t="shared" si="8"/>
        <v>13140620</v>
      </c>
      <c r="AT62" s="38">
        <f>VLOOKUP($A62,'4_Level 4'!$A$7:$AP$139,COLUMN('4_Level 4'!$E:$E),FALSE)</f>
        <v>0</v>
      </c>
      <c r="AU62" s="38">
        <f>VLOOKUP($A62,'4_Level 4'!$A$7:$AP$139,COLUMN('4_Level 4'!$Q:$Q),FALSE)</f>
        <v>51566</v>
      </c>
      <c r="AV62" s="38">
        <f>VLOOKUP($A62,'4_Level 4'!$A$7:$AP$139,COLUMN('4_Level 4'!$AC:$AC),FALSE)</f>
        <v>269135</v>
      </c>
      <c r="AW62" s="38">
        <f>VLOOKUP($A62,'4_Level 4'!$A$7:$AP$139,COLUMN('4_Level 4'!$AO:$AO),FALSE)</f>
        <v>215309</v>
      </c>
      <c r="AX62" s="39">
        <f t="shared" si="3"/>
        <v>13676630</v>
      </c>
      <c r="AY62" s="38"/>
      <c r="AZ62" s="38">
        <f t="shared" si="9"/>
        <v>13676630</v>
      </c>
      <c r="BA62" s="38">
        <f t="shared" si="11"/>
        <v>1139719</v>
      </c>
      <c r="BB62" s="38">
        <f>VLOOKUP($A62,'4_Level 4'!$A$7:$AP$139,COLUMN('4_Level 4'!$J:$J),FALSE)</f>
        <v>0</v>
      </c>
      <c r="BC62" s="38">
        <f>VLOOKUP($A62,'4_Level 4'!$A$7:$AP$139,COLUMN('4_Level 4'!$L:$L),FALSE)</f>
        <v>44826</v>
      </c>
      <c r="BD62" s="38">
        <f>VLOOKUP($A62,'4_Level 4'!$A$7:$AP$139,COLUMN('4_Level 4'!$M:$M),FALSE)</f>
        <v>0</v>
      </c>
      <c r="BE62" s="39">
        <f t="shared" si="10"/>
        <v>13721456</v>
      </c>
    </row>
    <row r="63" spans="1:57" ht="15.6" customHeight="1" x14ac:dyDescent="0.2">
      <c r="A63" s="42">
        <v>57</v>
      </c>
      <c r="B63" s="43" t="s">
        <v>187</v>
      </c>
      <c r="C63" s="44">
        <f>'3_Levels 1&amp;2'!AP63</f>
        <v>57884426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-182831</v>
      </c>
      <c r="W63" s="44">
        <v>-15702</v>
      </c>
      <c r="X63" s="44">
        <v>0</v>
      </c>
      <c r="Y63" s="44">
        <v>0</v>
      </c>
      <c r="Z63" s="44">
        <v>0</v>
      </c>
      <c r="AA63" s="44">
        <v>0</v>
      </c>
      <c r="AB63" s="44">
        <v>-5729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-143618</v>
      </c>
      <c r="AI63" s="44">
        <v>-100731</v>
      </c>
      <c r="AJ63" s="45">
        <f t="shared" si="1"/>
        <v>-448611</v>
      </c>
      <c r="AK63" s="45">
        <f t="shared" si="2"/>
        <v>57435815</v>
      </c>
      <c r="AL63" s="45">
        <f>ROUND(AK63/'8_2.1.21 SIS'!C63,0)</f>
        <v>6234</v>
      </c>
      <c r="AM63" s="46">
        <f>VLOOKUP($A63,[1]LEA_Summary!$A$7:$O$139,COLUMN([1]LEA_Summary!$I:$I),FALSE)</f>
        <v>0</v>
      </c>
      <c r="AN63" s="44">
        <f t="shared" si="5"/>
        <v>0</v>
      </c>
      <c r="AO63" s="44">
        <f t="shared" si="6"/>
        <v>0</v>
      </c>
      <c r="AP63" s="44"/>
      <c r="AQ63" s="44"/>
      <c r="AR63" s="46">
        <f t="shared" si="7"/>
        <v>0</v>
      </c>
      <c r="AS63" s="45">
        <f t="shared" si="8"/>
        <v>57435815</v>
      </c>
      <c r="AT63" s="44">
        <f>VLOOKUP($A63,'4_Level 4'!$A$7:$AP$139,COLUMN('4_Level 4'!$E:$E),FALSE)</f>
        <v>42000</v>
      </c>
      <c r="AU63" s="44">
        <f>VLOOKUP($A63,'4_Level 4'!$A$7:$AP$139,COLUMN('4_Level 4'!$Q:$Q),FALSE)</f>
        <v>240484</v>
      </c>
      <c r="AV63" s="44">
        <f>VLOOKUP($A63,'4_Level 4'!$A$7:$AP$139,COLUMN('4_Level 4'!$AC:$AC),FALSE)</f>
        <v>1279299</v>
      </c>
      <c r="AW63" s="44">
        <f>VLOOKUP($A63,'4_Level 4'!$A$7:$AP$139,COLUMN('4_Level 4'!$AO:$AO),FALSE)</f>
        <v>1023439</v>
      </c>
      <c r="AX63" s="45">
        <f t="shared" si="3"/>
        <v>60021037</v>
      </c>
      <c r="AY63" s="44"/>
      <c r="AZ63" s="44">
        <f t="shared" si="9"/>
        <v>60021037</v>
      </c>
      <c r="BA63" s="44">
        <f t="shared" si="11"/>
        <v>5001753</v>
      </c>
      <c r="BB63" s="44">
        <f>VLOOKUP($A63,'4_Level 4'!$A$7:$AP$139,COLUMN('4_Level 4'!$J:$J),FALSE)</f>
        <v>0</v>
      </c>
      <c r="BC63" s="44">
        <f>VLOOKUP($A63,'4_Level 4'!$A$7:$AP$139,COLUMN('4_Level 4'!$L:$L),FALSE)</f>
        <v>149752</v>
      </c>
      <c r="BD63" s="44">
        <f>VLOOKUP($A63,'4_Level 4'!$A$7:$AP$139,COLUMN('4_Level 4'!$M:$M),FALSE)</f>
        <v>0</v>
      </c>
      <c r="BE63" s="45">
        <f t="shared" si="10"/>
        <v>60170789</v>
      </c>
    </row>
    <row r="64" spans="1:57" ht="15.6" customHeight="1" x14ac:dyDescent="0.2">
      <c r="A64" s="42">
        <v>58</v>
      </c>
      <c r="B64" s="43" t="s">
        <v>188</v>
      </c>
      <c r="C64" s="44">
        <f>'3_Levels 1&amp;2'!AP64</f>
        <v>53232565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-232842</v>
      </c>
      <c r="AI64" s="44">
        <v>-149730</v>
      </c>
      <c r="AJ64" s="45">
        <f t="shared" si="1"/>
        <v>-382572</v>
      </c>
      <c r="AK64" s="45">
        <f t="shared" si="2"/>
        <v>52849993</v>
      </c>
      <c r="AL64" s="45">
        <f>ROUND(AK64/'8_2.1.21 SIS'!C64,0)</f>
        <v>6902</v>
      </c>
      <c r="AM64" s="46">
        <f>VLOOKUP($A64,[1]LEA_Summary!$A$7:$O$139,COLUMN([1]LEA_Summary!$I:$I),FALSE)</f>
        <v>-11067</v>
      </c>
      <c r="AN64" s="44">
        <f t="shared" si="5"/>
        <v>0</v>
      </c>
      <c r="AO64" s="44">
        <f t="shared" si="6"/>
        <v>-11067</v>
      </c>
      <c r="AP64" s="44"/>
      <c r="AQ64" s="44"/>
      <c r="AR64" s="46">
        <f t="shared" si="7"/>
        <v>0</v>
      </c>
      <c r="AS64" s="45">
        <f t="shared" si="8"/>
        <v>52838926</v>
      </c>
      <c r="AT64" s="44">
        <f>VLOOKUP($A64,'4_Level 4'!$A$7:$AP$139,COLUMN('4_Level 4'!$E:$E),FALSE)</f>
        <v>0</v>
      </c>
      <c r="AU64" s="44">
        <f>VLOOKUP($A64,'4_Level 4'!$A$7:$AP$139,COLUMN('4_Level 4'!$Q:$Q),FALSE)</f>
        <v>188918</v>
      </c>
      <c r="AV64" s="44">
        <f>VLOOKUP($A64,'4_Level 4'!$A$7:$AP$139,COLUMN('4_Level 4'!$AC:$AC),FALSE)</f>
        <v>1084875</v>
      </c>
      <c r="AW64" s="44">
        <f>VLOOKUP($A64,'4_Level 4'!$A$7:$AP$139,COLUMN('4_Level 4'!$AO:$AO),FALSE)</f>
        <v>867900</v>
      </c>
      <c r="AX64" s="45">
        <f t="shared" si="3"/>
        <v>54980619</v>
      </c>
      <c r="AY64" s="44"/>
      <c r="AZ64" s="44">
        <f t="shared" si="9"/>
        <v>54980619</v>
      </c>
      <c r="BA64" s="44">
        <f t="shared" si="11"/>
        <v>4581718</v>
      </c>
      <c r="BB64" s="44">
        <f>VLOOKUP($A64,'4_Level 4'!$A$7:$AP$139,COLUMN('4_Level 4'!$J:$J),FALSE)</f>
        <v>0</v>
      </c>
      <c r="BC64" s="44">
        <f>VLOOKUP($A64,'4_Level 4'!$A$7:$AP$139,COLUMN('4_Level 4'!$L:$L),FALSE)</f>
        <v>123452</v>
      </c>
      <c r="BD64" s="44">
        <f>VLOOKUP($A64,'4_Level 4'!$A$7:$AP$139,COLUMN('4_Level 4'!$M:$M),FALSE)</f>
        <v>0</v>
      </c>
      <c r="BE64" s="45">
        <f t="shared" si="10"/>
        <v>55104071</v>
      </c>
    </row>
    <row r="65" spans="1:57" ht="15.6" customHeight="1" x14ac:dyDescent="0.2">
      <c r="A65" s="42">
        <v>59</v>
      </c>
      <c r="B65" s="43" t="s">
        <v>189</v>
      </c>
      <c r="C65" s="44">
        <f>'3_Levels 1&amp;2'!AP65</f>
        <v>36088935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-148070</v>
      </c>
      <c r="AI65" s="44">
        <v>-310890</v>
      </c>
      <c r="AJ65" s="45">
        <f t="shared" si="1"/>
        <v>-458960</v>
      </c>
      <c r="AK65" s="45">
        <f t="shared" si="2"/>
        <v>35629975</v>
      </c>
      <c r="AL65" s="45">
        <f>ROUND(AK65/'8_2.1.21 SIS'!C65,0)</f>
        <v>7488</v>
      </c>
      <c r="AM65" s="46">
        <f>VLOOKUP($A65,[1]LEA_Summary!$A$7:$O$139,COLUMN([1]LEA_Summary!$I:$I),FALSE)</f>
        <v>-9132</v>
      </c>
      <c r="AN65" s="44">
        <f t="shared" si="5"/>
        <v>0</v>
      </c>
      <c r="AO65" s="44">
        <f t="shared" si="6"/>
        <v>-9132</v>
      </c>
      <c r="AP65" s="44"/>
      <c r="AQ65" s="44"/>
      <c r="AR65" s="46">
        <f t="shared" si="7"/>
        <v>0</v>
      </c>
      <c r="AS65" s="45">
        <f t="shared" si="8"/>
        <v>35620843</v>
      </c>
      <c r="AT65" s="44">
        <f>VLOOKUP($A65,'4_Level 4'!$A$7:$AP$139,COLUMN('4_Level 4'!$E:$E),FALSE)</f>
        <v>0</v>
      </c>
      <c r="AU65" s="44">
        <f>VLOOKUP($A65,'4_Level 4'!$A$7:$AP$139,COLUMN('4_Level 4'!$Q:$Q),FALSE)</f>
        <v>135405</v>
      </c>
      <c r="AV65" s="44">
        <f>VLOOKUP($A65,'4_Level 4'!$A$7:$AP$139,COLUMN('4_Level 4'!$AC:$AC),FALSE)</f>
        <v>725764</v>
      </c>
      <c r="AW65" s="44">
        <f>VLOOKUP($A65,'4_Level 4'!$A$7:$AP$139,COLUMN('4_Level 4'!$AO:$AO),FALSE)</f>
        <v>580611</v>
      </c>
      <c r="AX65" s="45">
        <f t="shared" si="3"/>
        <v>37062623</v>
      </c>
      <c r="AY65" s="44"/>
      <c r="AZ65" s="44">
        <f t="shared" si="9"/>
        <v>37062623</v>
      </c>
      <c r="BA65" s="44">
        <f t="shared" si="11"/>
        <v>3088552</v>
      </c>
      <c r="BB65" s="44">
        <f>VLOOKUP($A65,'4_Level 4'!$A$7:$AP$139,COLUMN('4_Level 4'!$J:$J),FALSE)</f>
        <v>0</v>
      </c>
      <c r="BC65" s="44">
        <f>VLOOKUP($A65,'4_Level 4'!$A$7:$AP$139,COLUMN('4_Level 4'!$L:$L),FALSE)</f>
        <v>165025</v>
      </c>
      <c r="BD65" s="44">
        <f>VLOOKUP($A65,'4_Level 4'!$A$7:$AP$139,COLUMN('4_Level 4'!$M:$M),FALSE)</f>
        <v>0</v>
      </c>
      <c r="BE65" s="45">
        <f t="shared" si="10"/>
        <v>37227648</v>
      </c>
    </row>
    <row r="66" spans="1:57" ht="15.6" customHeight="1" x14ac:dyDescent="0.2">
      <c r="A66" s="47">
        <v>60</v>
      </c>
      <c r="B66" s="48" t="s">
        <v>190</v>
      </c>
      <c r="C66" s="49">
        <f>'3_Levels 1&amp;2'!AP66</f>
        <v>35417151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-5519</v>
      </c>
      <c r="AA66" s="49">
        <v>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-48837</v>
      </c>
      <c r="AI66" s="49">
        <v>-194220</v>
      </c>
      <c r="AJ66" s="50">
        <f t="shared" si="1"/>
        <v>-248576</v>
      </c>
      <c r="AK66" s="50">
        <f t="shared" si="2"/>
        <v>35168575</v>
      </c>
      <c r="AL66" s="50">
        <f>ROUND(AK66/'8_2.1.21 SIS'!C66,0)</f>
        <v>6371</v>
      </c>
      <c r="AM66" s="51">
        <f>VLOOKUP($A66,[1]LEA_Summary!$A$7:$O$139,COLUMN([1]LEA_Summary!$I:$I),FALSE)</f>
        <v>-24744</v>
      </c>
      <c r="AN66" s="49">
        <f t="shared" si="5"/>
        <v>0</v>
      </c>
      <c r="AO66" s="49">
        <f t="shared" si="6"/>
        <v>-24744</v>
      </c>
      <c r="AP66" s="49"/>
      <c r="AQ66" s="49"/>
      <c r="AR66" s="51">
        <f t="shared" si="7"/>
        <v>0</v>
      </c>
      <c r="AS66" s="50">
        <f t="shared" si="8"/>
        <v>35143831</v>
      </c>
      <c r="AT66" s="49">
        <f>VLOOKUP($A66,'4_Level 4'!$A$7:$AP$139,COLUMN('4_Level 4'!$E:$E),FALSE)</f>
        <v>0</v>
      </c>
      <c r="AU66" s="49">
        <f>VLOOKUP($A66,'4_Level 4'!$A$7:$AP$139,COLUMN('4_Level 4'!$Q:$Q),FALSE)</f>
        <v>154639</v>
      </c>
      <c r="AV66" s="49">
        <f>VLOOKUP($A66,'4_Level 4'!$A$7:$AP$139,COLUMN('4_Level 4'!$AC:$AC),FALSE)</f>
        <v>757496</v>
      </c>
      <c r="AW66" s="49">
        <f>VLOOKUP($A66,'4_Level 4'!$A$7:$AP$139,COLUMN('4_Level 4'!$AO:$AO),FALSE)</f>
        <v>605997</v>
      </c>
      <c r="AX66" s="50">
        <f t="shared" si="3"/>
        <v>36661963</v>
      </c>
      <c r="AY66" s="49"/>
      <c r="AZ66" s="49">
        <f t="shared" si="9"/>
        <v>36661963</v>
      </c>
      <c r="BA66" s="49">
        <f t="shared" si="11"/>
        <v>3055164</v>
      </c>
      <c r="BB66" s="49">
        <f>VLOOKUP($A66,'4_Level 4'!$A$7:$AP$139,COLUMN('4_Level 4'!$J:$J),FALSE)</f>
        <v>0</v>
      </c>
      <c r="BC66" s="49">
        <f>VLOOKUP($A66,'4_Level 4'!$A$7:$AP$139,COLUMN('4_Level 4'!$L:$L),FALSE)</f>
        <v>140081</v>
      </c>
      <c r="BD66" s="49">
        <f>VLOOKUP($A66,'4_Level 4'!$A$7:$AP$139,COLUMN('4_Level 4'!$M:$M),FALSE)</f>
        <v>0</v>
      </c>
      <c r="BE66" s="50">
        <f t="shared" si="10"/>
        <v>36802044</v>
      </c>
    </row>
    <row r="67" spans="1:57" ht="15.6" customHeight="1" x14ac:dyDescent="0.2">
      <c r="A67" s="36">
        <v>61</v>
      </c>
      <c r="B67" s="37" t="s">
        <v>191</v>
      </c>
      <c r="C67" s="38">
        <f>'3_Levels 1&amp;2'!AP67</f>
        <v>15567787</v>
      </c>
      <c r="D67" s="38">
        <v>0</v>
      </c>
      <c r="E67" s="38">
        <v>-9599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-75425</v>
      </c>
      <c r="N67" s="38">
        <v>0</v>
      </c>
      <c r="O67" s="38">
        <v>-3481</v>
      </c>
      <c r="P67" s="38">
        <v>0</v>
      </c>
      <c r="Q67" s="38">
        <v>0</v>
      </c>
      <c r="R67" s="38">
        <v>-17743</v>
      </c>
      <c r="S67" s="38">
        <v>-197038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-3481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-41379</v>
      </c>
      <c r="AI67" s="38">
        <v>-94399</v>
      </c>
      <c r="AJ67" s="39">
        <f t="shared" si="1"/>
        <v>-442545</v>
      </c>
      <c r="AK67" s="39">
        <f t="shared" si="2"/>
        <v>15125242</v>
      </c>
      <c r="AL67" s="39">
        <f>ROUND(AK67/'8_2.1.21 SIS'!C67,0)</f>
        <v>4004</v>
      </c>
      <c r="AM67" s="40">
        <f>VLOOKUP($A67,[1]LEA_Summary!$A$7:$O$139,COLUMN([1]LEA_Summary!$I:$I),FALSE)</f>
        <v>17798</v>
      </c>
      <c r="AN67" s="38">
        <f t="shared" si="5"/>
        <v>17798</v>
      </c>
      <c r="AO67" s="38">
        <f t="shared" si="6"/>
        <v>0</v>
      </c>
      <c r="AP67" s="38"/>
      <c r="AQ67" s="38"/>
      <c r="AR67" s="40">
        <f t="shared" si="7"/>
        <v>0</v>
      </c>
      <c r="AS67" s="39">
        <f t="shared" si="8"/>
        <v>15143040</v>
      </c>
      <c r="AT67" s="38">
        <f>VLOOKUP($A67,'4_Level 4'!$A$7:$AP$139,COLUMN('4_Level 4'!$E:$E),FALSE)</f>
        <v>0</v>
      </c>
      <c r="AU67" s="38">
        <f>VLOOKUP($A67,'4_Level 4'!$A$7:$AP$139,COLUMN('4_Level 4'!$Q:$Q),FALSE)</f>
        <v>99297</v>
      </c>
      <c r="AV67" s="38">
        <f>VLOOKUP($A67,'4_Level 4'!$A$7:$AP$139,COLUMN('4_Level 4'!$AC:$AC),FALSE)</f>
        <v>642901</v>
      </c>
      <c r="AW67" s="38">
        <f>VLOOKUP($A67,'4_Level 4'!$A$7:$AP$139,COLUMN('4_Level 4'!$AO:$AO),FALSE)</f>
        <v>514319</v>
      </c>
      <c r="AX67" s="39">
        <f t="shared" si="3"/>
        <v>16399557</v>
      </c>
      <c r="AY67" s="38"/>
      <c r="AZ67" s="38">
        <f t="shared" si="9"/>
        <v>16399557</v>
      </c>
      <c r="BA67" s="38">
        <f t="shared" si="11"/>
        <v>1366630</v>
      </c>
      <c r="BB67" s="38">
        <f>VLOOKUP($A67,'4_Level 4'!$A$7:$AP$139,COLUMN('4_Level 4'!$J:$J),FALSE)</f>
        <v>0</v>
      </c>
      <c r="BC67" s="38">
        <f>VLOOKUP($A67,'4_Level 4'!$A$7:$AP$139,COLUMN('4_Level 4'!$L:$L),FALSE)</f>
        <v>89291</v>
      </c>
      <c r="BD67" s="38">
        <f>VLOOKUP($A67,'4_Level 4'!$A$7:$AP$139,COLUMN('4_Level 4'!$M:$M),FALSE)</f>
        <v>0</v>
      </c>
      <c r="BE67" s="39">
        <f t="shared" si="10"/>
        <v>16488848</v>
      </c>
    </row>
    <row r="68" spans="1:57" ht="15.6" customHeight="1" x14ac:dyDescent="0.2">
      <c r="A68" s="42">
        <v>62</v>
      </c>
      <c r="B68" s="43" t="s">
        <v>192</v>
      </c>
      <c r="C68" s="44">
        <f>'3_Levels 1&amp;2'!AP68</f>
        <v>12646113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-16809</v>
      </c>
      <c r="AI68" s="44">
        <v>-96461</v>
      </c>
      <c r="AJ68" s="45">
        <f t="shared" si="1"/>
        <v>-113270</v>
      </c>
      <c r="AK68" s="45">
        <f t="shared" si="2"/>
        <v>12532843</v>
      </c>
      <c r="AL68" s="45">
        <f>ROUND(AK68/'8_2.1.21 SIS'!C68,0)</f>
        <v>6890</v>
      </c>
      <c r="AM68" s="46">
        <f>VLOOKUP($A68,[1]LEA_Summary!$A$7:$O$139,COLUMN([1]LEA_Summary!$I:$I),FALSE)</f>
        <v>0</v>
      </c>
      <c r="AN68" s="44">
        <f t="shared" si="5"/>
        <v>0</v>
      </c>
      <c r="AO68" s="44">
        <f t="shared" si="6"/>
        <v>0</v>
      </c>
      <c r="AP68" s="44"/>
      <c r="AQ68" s="44"/>
      <c r="AR68" s="46">
        <f t="shared" si="7"/>
        <v>0</v>
      </c>
      <c r="AS68" s="45">
        <f t="shared" si="8"/>
        <v>12532843</v>
      </c>
      <c r="AT68" s="44">
        <f>VLOOKUP($A68,'4_Level 4'!$A$7:$AP$139,COLUMN('4_Level 4'!$E:$E),FALSE)</f>
        <v>0</v>
      </c>
      <c r="AU68" s="44">
        <f>VLOOKUP($A68,'4_Level 4'!$A$7:$AP$139,COLUMN('4_Level 4'!$Q:$Q),FALSE)</f>
        <v>50858</v>
      </c>
      <c r="AV68" s="44">
        <f>VLOOKUP($A68,'4_Level 4'!$A$7:$AP$139,COLUMN('4_Level 4'!$AC:$AC),FALSE)</f>
        <v>259779</v>
      </c>
      <c r="AW68" s="44">
        <f>VLOOKUP($A68,'4_Level 4'!$A$7:$AP$139,COLUMN('4_Level 4'!$AO:$AO),FALSE)</f>
        <v>207822</v>
      </c>
      <c r="AX68" s="45">
        <f t="shared" si="3"/>
        <v>13051302</v>
      </c>
      <c r="AY68" s="44"/>
      <c r="AZ68" s="44">
        <f t="shared" si="9"/>
        <v>13051302</v>
      </c>
      <c r="BA68" s="44">
        <f t="shared" si="11"/>
        <v>1087609</v>
      </c>
      <c r="BB68" s="44">
        <f>VLOOKUP($A68,'4_Level 4'!$A$7:$AP$139,COLUMN('4_Level 4'!$J:$J),FALSE)</f>
        <v>0</v>
      </c>
      <c r="BC68" s="44">
        <f>VLOOKUP($A68,'4_Level 4'!$A$7:$AP$139,COLUMN('4_Level 4'!$L:$L),FALSE)</f>
        <v>38681</v>
      </c>
      <c r="BD68" s="44">
        <f>VLOOKUP($A68,'4_Level 4'!$A$7:$AP$139,COLUMN('4_Level 4'!$M:$M),FALSE)</f>
        <v>0</v>
      </c>
      <c r="BE68" s="45">
        <f t="shared" si="10"/>
        <v>13089983</v>
      </c>
    </row>
    <row r="69" spans="1:57" ht="15.6" customHeight="1" x14ac:dyDescent="0.2">
      <c r="A69" s="42">
        <v>63</v>
      </c>
      <c r="B69" s="43" t="s">
        <v>193</v>
      </c>
      <c r="C69" s="44">
        <f>'3_Levels 1&amp;2'!AP69</f>
        <v>8239038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-12053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-36064</v>
      </c>
      <c r="AI69" s="44">
        <v>-26861</v>
      </c>
      <c r="AJ69" s="45">
        <f t="shared" si="1"/>
        <v>-74978</v>
      </c>
      <c r="AK69" s="45">
        <f t="shared" si="2"/>
        <v>8164060</v>
      </c>
      <c r="AL69" s="45">
        <f>ROUND(AK69/'8_2.1.21 SIS'!C69,0)</f>
        <v>3982</v>
      </c>
      <c r="AM69" s="46">
        <f>VLOOKUP($A69,[1]LEA_Summary!$A$7:$O$139,COLUMN([1]LEA_Summary!$I:$I),FALSE)</f>
        <v>0</v>
      </c>
      <c r="AN69" s="44">
        <f t="shared" si="5"/>
        <v>0</v>
      </c>
      <c r="AO69" s="44">
        <f t="shared" si="6"/>
        <v>0</v>
      </c>
      <c r="AP69" s="44"/>
      <c r="AQ69" s="44"/>
      <c r="AR69" s="46">
        <f t="shared" si="7"/>
        <v>0</v>
      </c>
      <c r="AS69" s="45">
        <f t="shared" si="8"/>
        <v>8164060</v>
      </c>
      <c r="AT69" s="44">
        <f>VLOOKUP($A69,'4_Level 4'!$A$7:$AP$139,COLUMN('4_Level 4'!$E:$E),FALSE)</f>
        <v>0</v>
      </c>
      <c r="AU69" s="44">
        <f>VLOOKUP($A69,'4_Level 4'!$A$7:$AP$139,COLUMN('4_Level 4'!$Q:$Q),FALSE)</f>
        <v>55460</v>
      </c>
      <c r="AV69" s="44">
        <f>VLOOKUP($A69,'4_Level 4'!$A$7:$AP$139,COLUMN('4_Level 4'!$AC:$AC),FALSE)</f>
        <v>366930</v>
      </c>
      <c r="AW69" s="44">
        <f>VLOOKUP($A69,'4_Level 4'!$A$7:$AP$139,COLUMN('4_Level 4'!$AO:$AO),FALSE)</f>
        <v>293544</v>
      </c>
      <c r="AX69" s="45">
        <f t="shared" si="3"/>
        <v>8879994</v>
      </c>
      <c r="AY69" s="44"/>
      <c r="AZ69" s="44">
        <f t="shared" si="9"/>
        <v>8879994</v>
      </c>
      <c r="BA69" s="44">
        <f t="shared" si="11"/>
        <v>740000</v>
      </c>
      <c r="BB69" s="44">
        <f>VLOOKUP($A69,'4_Level 4'!$A$7:$AP$139,COLUMN('4_Level 4'!$J:$J),FALSE)</f>
        <v>0</v>
      </c>
      <c r="BC69" s="44">
        <f>VLOOKUP($A69,'4_Level 4'!$A$7:$AP$139,COLUMN('4_Level 4'!$L:$L),FALSE)</f>
        <v>75915</v>
      </c>
      <c r="BD69" s="44">
        <f>VLOOKUP($A69,'4_Level 4'!$A$7:$AP$139,COLUMN('4_Level 4'!$M:$M),FALSE)</f>
        <v>0</v>
      </c>
      <c r="BE69" s="45">
        <f t="shared" si="10"/>
        <v>8955909</v>
      </c>
    </row>
    <row r="70" spans="1:57" ht="15.6" customHeight="1" x14ac:dyDescent="0.2">
      <c r="A70" s="42">
        <v>64</v>
      </c>
      <c r="B70" s="43" t="s">
        <v>194</v>
      </c>
      <c r="C70" s="44">
        <f>'3_Levels 1&amp;2'!AP70</f>
        <v>13511806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-5867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-47936</v>
      </c>
      <c r="AI70" s="44">
        <v>-36839</v>
      </c>
      <c r="AJ70" s="45">
        <f t="shared" si="1"/>
        <v>-90642</v>
      </c>
      <c r="AK70" s="45">
        <f t="shared" si="2"/>
        <v>13421164</v>
      </c>
      <c r="AL70" s="45">
        <f>ROUND(AK70/'8_2.1.21 SIS'!C70,0)</f>
        <v>7139</v>
      </c>
      <c r="AM70" s="46">
        <f>VLOOKUP($A70,[1]LEA_Summary!$A$7:$O$139,COLUMN([1]LEA_Summary!$I:$I),FALSE)</f>
        <v>-8516</v>
      </c>
      <c r="AN70" s="44">
        <f t="shared" si="5"/>
        <v>0</v>
      </c>
      <c r="AO70" s="44">
        <f t="shared" si="6"/>
        <v>-8516</v>
      </c>
      <c r="AP70" s="44"/>
      <c r="AQ70" s="44"/>
      <c r="AR70" s="46">
        <f t="shared" si="7"/>
        <v>0</v>
      </c>
      <c r="AS70" s="45">
        <f t="shared" si="8"/>
        <v>13412648</v>
      </c>
      <c r="AT70" s="44">
        <f>VLOOKUP($A70,'4_Level 4'!$A$7:$AP$139,COLUMN('4_Level 4'!$E:$E),FALSE)</f>
        <v>0</v>
      </c>
      <c r="AU70" s="44">
        <f>VLOOKUP($A70,'4_Level 4'!$A$7:$AP$139,COLUMN('4_Level 4'!$Q:$Q),FALSE)</f>
        <v>52333</v>
      </c>
      <c r="AV70" s="44">
        <f>VLOOKUP($A70,'4_Level 4'!$A$7:$AP$139,COLUMN('4_Level 4'!$AC:$AC),FALSE)</f>
        <v>319773</v>
      </c>
      <c r="AW70" s="44">
        <f>VLOOKUP($A70,'4_Level 4'!$A$7:$AP$139,COLUMN('4_Level 4'!$AO:$AO),FALSE)</f>
        <v>255819</v>
      </c>
      <c r="AX70" s="45">
        <f t="shared" si="3"/>
        <v>14040573</v>
      </c>
      <c r="AY70" s="44"/>
      <c r="AZ70" s="44">
        <f t="shared" si="9"/>
        <v>14040573</v>
      </c>
      <c r="BA70" s="44">
        <f t="shared" si="11"/>
        <v>1170048</v>
      </c>
      <c r="BB70" s="44">
        <f>VLOOKUP($A70,'4_Level 4'!$A$7:$AP$139,COLUMN('4_Level 4'!$J:$J),FALSE)</f>
        <v>0</v>
      </c>
      <c r="BC70" s="44">
        <f>VLOOKUP($A70,'4_Level 4'!$A$7:$AP$139,COLUMN('4_Level 4'!$L:$L),FALSE)</f>
        <v>96340</v>
      </c>
      <c r="BD70" s="44">
        <f>VLOOKUP($A70,'4_Level 4'!$A$7:$AP$139,COLUMN('4_Level 4'!$M:$M),FALSE)</f>
        <v>0</v>
      </c>
      <c r="BE70" s="45">
        <f t="shared" si="10"/>
        <v>14136913</v>
      </c>
    </row>
    <row r="71" spans="1:57" ht="15.6" customHeight="1" x14ac:dyDescent="0.2">
      <c r="A71" s="47">
        <v>65</v>
      </c>
      <c r="B71" s="48" t="s">
        <v>195</v>
      </c>
      <c r="C71" s="49">
        <f>'3_Levels 1&amp;2'!AP71</f>
        <v>46678740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-30583</v>
      </c>
      <c r="AI71" s="49">
        <v>-25080</v>
      </c>
      <c r="AJ71" s="50">
        <f t="shared" ref="AJ71:AJ75" si="12">SUM(D71:AI71)</f>
        <v>-55663</v>
      </c>
      <c r="AK71" s="50">
        <f t="shared" ref="AK71:AK75" si="13">SUM(C71:AI71)</f>
        <v>46623077</v>
      </c>
      <c r="AL71" s="50">
        <f>ROUND(AK71/'8_2.1.21 SIS'!C71,0)</f>
        <v>5967</v>
      </c>
      <c r="AM71" s="51">
        <f>VLOOKUP($A71,[1]LEA_Summary!$A$7:$O$139,COLUMN([1]LEA_Summary!$I:$I),FALSE)</f>
        <v>7079</v>
      </c>
      <c r="AN71" s="49">
        <f t="shared" si="5"/>
        <v>7079</v>
      </c>
      <c r="AO71" s="49">
        <f t="shared" si="6"/>
        <v>0</v>
      </c>
      <c r="AP71" s="49"/>
      <c r="AQ71" s="49"/>
      <c r="AR71" s="51">
        <f t="shared" si="7"/>
        <v>0</v>
      </c>
      <c r="AS71" s="50">
        <f t="shared" si="8"/>
        <v>46630156</v>
      </c>
      <c r="AT71" s="49">
        <f>VLOOKUP($A71,'4_Level 4'!$A$7:$AP$139,COLUMN('4_Level 4'!$E:$E),FALSE)</f>
        <v>0</v>
      </c>
      <c r="AU71" s="49">
        <f>VLOOKUP($A71,'4_Level 4'!$A$7:$AP$139,COLUMN('4_Level 4'!$Q:$Q),FALSE)</f>
        <v>197650</v>
      </c>
      <c r="AV71" s="49">
        <f>VLOOKUP($A71,'4_Level 4'!$A$7:$AP$139,COLUMN('4_Level 4'!$AC:$AC),FALSE)</f>
        <v>1285909</v>
      </c>
      <c r="AW71" s="49">
        <f>VLOOKUP($A71,'4_Level 4'!$A$7:$AP$139,COLUMN('4_Level 4'!$AO:$AO),FALSE)</f>
        <v>1028726</v>
      </c>
      <c r="AX71" s="50">
        <f t="shared" ref="AX71:AX74" si="14">ROUND(SUM(AS71:AW71),0)</f>
        <v>49142441</v>
      </c>
      <c r="AY71" s="49"/>
      <c r="AZ71" s="49">
        <f t="shared" si="9"/>
        <v>49142441</v>
      </c>
      <c r="BA71" s="49">
        <f t="shared" ref="BA71:BA75" si="15">ROUND(AZ71/$BA$77,0)</f>
        <v>4095203</v>
      </c>
      <c r="BB71" s="49">
        <f>VLOOKUP($A71,'4_Level 4'!$A$7:$AP$139,COLUMN('4_Level 4'!$J:$J),FALSE)</f>
        <v>0</v>
      </c>
      <c r="BC71" s="49">
        <f>VLOOKUP($A71,'4_Level 4'!$A$7:$AP$139,COLUMN('4_Level 4'!$L:$L),FALSE)</f>
        <v>224311</v>
      </c>
      <c r="BD71" s="49">
        <f>VLOOKUP($A71,'4_Level 4'!$A$7:$AP$139,COLUMN('4_Level 4'!$M:$M),FALSE)</f>
        <v>0</v>
      </c>
      <c r="BE71" s="50">
        <f t="shared" si="10"/>
        <v>49366752</v>
      </c>
    </row>
    <row r="72" spans="1:57" ht="15.6" customHeight="1" x14ac:dyDescent="0.2">
      <c r="A72" s="36">
        <v>66</v>
      </c>
      <c r="B72" s="37" t="s">
        <v>196</v>
      </c>
      <c r="C72" s="38">
        <f>'3_Levels 1&amp;2'!AP72</f>
        <v>13639079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-88808</v>
      </c>
      <c r="AI72" s="38">
        <v>-144663</v>
      </c>
      <c r="AJ72" s="39">
        <f t="shared" si="12"/>
        <v>-233471</v>
      </c>
      <c r="AK72" s="39">
        <f t="shared" si="13"/>
        <v>13405608</v>
      </c>
      <c r="AL72" s="39">
        <f>ROUND(AK72/'8_2.1.21 SIS'!C72,0)</f>
        <v>7246</v>
      </c>
      <c r="AM72" s="40">
        <f>VLOOKUP($A72,[1]LEA_Summary!$A$7:$O$139,COLUMN([1]LEA_Summary!$I:$I),FALSE)</f>
        <v>-5429</v>
      </c>
      <c r="AN72" s="38">
        <f>IF(AM72&gt;0,AM72,0)</f>
        <v>0</v>
      </c>
      <c r="AO72" s="38">
        <f>IF(AM72&lt;0,AM72,0)</f>
        <v>-5429</v>
      </c>
      <c r="AP72" s="38"/>
      <c r="AQ72" s="38"/>
      <c r="AR72" s="40">
        <f>SUM(AP72:AQ72)</f>
        <v>0</v>
      </c>
      <c r="AS72" s="39">
        <f t="shared" ref="AS72:AS75" si="16">AK72+AM72+AR72</f>
        <v>13400179</v>
      </c>
      <c r="AT72" s="38">
        <f>VLOOKUP($A72,'4_Level 4'!$A$7:$AP$139,COLUMN('4_Level 4'!$E:$E),FALSE)</f>
        <v>0</v>
      </c>
      <c r="AU72" s="38">
        <f>VLOOKUP($A72,'4_Level 4'!$A$7:$AP$139,COLUMN('4_Level 4'!$Q:$Q),FALSE)</f>
        <v>47318</v>
      </c>
      <c r="AV72" s="38">
        <f>VLOOKUP($A72,'4_Level 4'!$A$7:$AP$139,COLUMN('4_Level 4'!$AC:$AC),FALSE)</f>
        <v>295277</v>
      </c>
      <c r="AW72" s="38">
        <f>VLOOKUP($A72,'4_Level 4'!$A$7:$AP$139,COLUMN('4_Level 4'!$AO:$AO),FALSE)</f>
        <v>236222</v>
      </c>
      <c r="AX72" s="39">
        <f t="shared" si="14"/>
        <v>13978996</v>
      </c>
      <c r="AY72" s="38"/>
      <c r="AZ72" s="38">
        <f>AX72-AY72</f>
        <v>13978996</v>
      </c>
      <c r="BA72" s="38">
        <f t="shared" si="15"/>
        <v>1164916</v>
      </c>
      <c r="BB72" s="38">
        <f>VLOOKUP($A72,'4_Level 4'!$A$7:$AP$139,COLUMN('4_Level 4'!$J:$J),FALSE)</f>
        <v>0</v>
      </c>
      <c r="BC72" s="38">
        <f>VLOOKUP($A72,'4_Level 4'!$A$7:$AP$139,COLUMN('4_Level 4'!$L:$L),FALSE)</f>
        <v>53683</v>
      </c>
      <c r="BD72" s="38">
        <f>VLOOKUP($A72,'4_Level 4'!$A$7:$AP$139,COLUMN('4_Level 4'!$M:$M),FALSE)</f>
        <v>0</v>
      </c>
      <c r="BE72" s="39">
        <f t="shared" ref="BE72:BE75" si="17">AX72+BB72+BC72+BD72</f>
        <v>14032679</v>
      </c>
    </row>
    <row r="73" spans="1:57" ht="15.6" customHeight="1" x14ac:dyDescent="0.2">
      <c r="A73" s="42">
        <v>67</v>
      </c>
      <c r="B73" s="43" t="s">
        <v>197</v>
      </c>
      <c r="C73" s="44">
        <f>'3_Levels 1&amp;2'!AP73</f>
        <v>32615173</v>
      </c>
      <c r="D73" s="44">
        <v>0</v>
      </c>
      <c r="E73" s="44">
        <v>-22230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-62626</v>
      </c>
      <c r="N73" s="44">
        <v>0</v>
      </c>
      <c r="O73" s="44">
        <v>0</v>
      </c>
      <c r="P73" s="44">
        <v>0</v>
      </c>
      <c r="Q73" s="44">
        <v>-33256</v>
      </c>
      <c r="R73" s="44">
        <v>-103299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-355</v>
      </c>
      <c r="AG73" s="44">
        <v>0</v>
      </c>
      <c r="AH73" s="44">
        <v>-61284</v>
      </c>
      <c r="AI73" s="44">
        <v>-173716</v>
      </c>
      <c r="AJ73" s="45">
        <f t="shared" si="12"/>
        <v>-456766</v>
      </c>
      <c r="AK73" s="45">
        <f t="shared" si="13"/>
        <v>32158407</v>
      </c>
      <c r="AL73" s="45">
        <f>ROUND(AK73/'8_2.1.21 SIS'!C73,0)</f>
        <v>6072</v>
      </c>
      <c r="AM73" s="46">
        <f>VLOOKUP($A73,[1]LEA_Summary!$A$7:$O$139,COLUMN([1]LEA_Summary!$I:$I),FALSE)</f>
        <v>6283</v>
      </c>
      <c r="AN73" s="44">
        <f>IF(AM73&gt;0,AM73,0)</f>
        <v>6283</v>
      </c>
      <c r="AO73" s="44">
        <f>IF(AM73&lt;0,AM73,0)</f>
        <v>0</v>
      </c>
      <c r="AP73" s="44"/>
      <c r="AQ73" s="44"/>
      <c r="AR73" s="46">
        <f>SUM(AP73:AQ73)</f>
        <v>0</v>
      </c>
      <c r="AS73" s="45">
        <f t="shared" si="16"/>
        <v>32164690</v>
      </c>
      <c r="AT73" s="44">
        <f>VLOOKUP($A73,'4_Level 4'!$A$7:$AP$139,COLUMN('4_Level 4'!$E:$E),FALSE)</f>
        <v>0</v>
      </c>
      <c r="AU73" s="44">
        <f>VLOOKUP($A73,'4_Level 4'!$A$7:$AP$139,COLUMN('4_Level 4'!$Q:$Q),FALSE)</f>
        <v>144196</v>
      </c>
      <c r="AV73" s="44">
        <f>VLOOKUP($A73,'4_Level 4'!$A$7:$AP$139,COLUMN('4_Level 4'!$AC:$AC),FALSE)</f>
        <v>625756</v>
      </c>
      <c r="AW73" s="44">
        <f>VLOOKUP($A73,'4_Level 4'!$A$7:$AP$139,COLUMN('4_Level 4'!$AO:$AO),FALSE)</f>
        <v>500606</v>
      </c>
      <c r="AX73" s="45">
        <f t="shared" si="14"/>
        <v>33435248</v>
      </c>
      <c r="AY73" s="44"/>
      <c r="AZ73" s="44">
        <f>AX73-AY73</f>
        <v>33435248</v>
      </c>
      <c r="BA73" s="44">
        <f t="shared" si="15"/>
        <v>2786271</v>
      </c>
      <c r="BB73" s="44">
        <f>VLOOKUP($A73,'4_Level 4'!$A$7:$AP$139,COLUMN('4_Level 4'!$J:$J),FALSE)</f>
        <v>0</v>
      </c>
      <c r="BC73" s="44">
        <f>VLOOKUP($A73,'4_Level 4'!$A$7:$AP$139,COLUMN('4_Level 4'!$L:$L),FALSE)</f>
        <v>66335</v>
      </c>
      <c r="BD73" s="44">
        <f>VLOOKUP($A73,'4_Level 4'!$A$7:$AP$139,COLUMN('4_Level 4'!$M:$M),FALSE)</f>
        <v>0</v>
      </c>
      <c r="BE73" s="45">
        <f t="shared" si="17"/>
        <v>33501583</v>
      </c>
    </row>
    <row r="74" spans="1:57" ht="15.6" customHeight="1" x14ac:dyDescent="0.2">
      <c r="A74" s="42">
        <v>68</v>
      </c>
      <c r="B74" s="43" t="s">
        <v>198</v>
      </c>
      <c r="C74" s="44">
        <f>'3_Levels 1&amp;2'!AP74</f>
        <v>11157248</v>
      </c>
      <c r="D74" s="44">
        <v>0</v>
      </c>
      <c r="E74" s="44">
        <v>-73890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-154970</v>
      </c>
      <c r="N74" s="44">
        <v>0</v>
      </c>
      <c r="O74" s="44">
        <v>-6740</v>
      </c>
      <c r="P74" s="44">
        <v>0</v>
      </c>
      <c r="Q74" s="44">
        <v>-971111</v>
      </c>
      <c r="R74" s="44">
        <v>-1629860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-52594</v>
      </c>
      <c r="Z74" s="44">
        <v>0</v>
      </c>
      <c r="AA74" s="44">
        <v>0</v>
      </c>
      <c r="AB74" s="44">
        <v>0</v>
      </c>
      <c r="AC74" s="44">
        <v>-46762</v>
      </c>
      <c r="AD74" s="44">
        <v>0</v>
      </c>
      <c r="AE74" s="44">
        <v>0</v>
      </c>
      <c r="AF74" s="44">
        <v>-9584</v>
      </c>
      <c r="AG74" s="44">
        <v>0</v>
      </c>
      <c r="AH74" s="44">
        <v>-24202</v>
      </c>
      <c r="AI74" s="44">
        <v>-66223</v>
      </c>
      <c r="AJ74" s="45">
        <f t="shared" si="12"/>
        <v>-3035936</v>
      </c>
      <c r="AK74" s="45">
        <f t="shared" si="13"/>
        <v>8121312</v>
      </c>
      <c r="AL74" s="45">
        <f>ROUND(AK74/'8_2.1.21 SIS'!C74,0)</f>
        <v>7451</v>
      </c>
      <c r="AM74" s="46">
        <f>VLOOKUP($A74,[1]LEA_Summary!$A$7:$O$139,COLUMN([1]LEA_Summary!$I:$I),FALSE)</f>
        <v>-43480</v>
      </c>
      <c r="AN74" s="44">
        <f>IF(AM74&gt;0,AM74,0)</f>
        <v>0</v>
      </c>
      <c r="AO74" s="44">
        <f>IF(AM74&lt;0,AM74,0)</f>
        <v>-43480</v>
      </c>
      <c r="AP74" s="44"/>
      <c r="AQ74" s="44"/>
      <c r="AR74" s="46">
        <f>SUM(AP74:AQ74)</f>
        <v>0</v>
      </c>
      <c r="AS74" s="45">
        <f t="shared" si="16"/>
        <v>8077832</v>
      </c>
      <c r="AT74" s="44">
        <f>VLOOKUP($A74,'4_Level 4'!$A$7:$AP$139,COLUMN('4_Level 4'!$E:$E),FALSE)</f>
        <v>0</v>
      </c>
      <c r="AU74" s="44">
        <f>VLOOKUP($A74,'4_Level 4'!$A$7:$AP$139,COLUMN('4_Level 4'!$Q:$Q),FALSE)</f>
        <v>36226</v>
      </c>
      <c r="AV74" s="44">
        <f>VLOOKUP($A74,'4_Level 4'!$A$7:$AP$139,COLUMN('4_Level 4'!$AC:$AC),FALSE)</f>
        <v>171115</v>
      </c>
      <c r="AW74" s="44">
        <f>VLOOKUP($A74,'4_Level 4'!$A$7:$AP$139,COLUMN('4_Level 4'!$AO:$AO),FALSE)</f>
        <v>136892</v>
      </c>
      <c r="AX74" s="45">
        <f t="shared" si="14"/>
        <v>8422065</v>
      </c>
      <c r="AY74" s="44"/>
      <c r="AZ74" s="44">
        <f>AX74-AY74</f>
        <v>8422065</v>
      </c>
      <c r="BA74" s="44">
        <f t="shared" si="15"/>
        <v>701839</v>
      </c>
      <c r="BB74" s="44">
        <f>VLOOKUP($A74,'4_Level 4'!$A$7:$AP$139,COLUMN('4_Level 4'!$J:$J),FALSE)</f>
        <v>0</v>
      </c>
      <c r="BC74" s="44">
        <f>VLOOKUP($A74,'4_Level 4'!$A$7:$AP$139,COLUMN('4_Level 4'!$L:$L),FALSE)</f>
        <v>25000</v>
      </c>
      <c r="BD74" s="44">
        <f>VLOOKUP($A74,'4_Level 4'!$A$7:$AP$139,COLUMN('4_Level 4'!$M:$M),FALSE)</f>
        <v>0</v>
      </c>
      <c r="BE74" s="45">
        <f t="shared" si="17"/>
        <v>8447065</v>
      </c>
    </row>
    <row r="75" spans="1:57" ht="15.6" customHeight="1" x14ac:dyDescent="0.2">
      <c r="A75" s="52">
        <v>69</v>
      </c>
      <c r="B75" s="53" t="s">
        <v>199</v>
      </c>
      <c r="C75" s="54">
        <f>'3_Levels 1&amp;2'!AP75</f>
        <v>32254380</v>
      </c>
      <c r="D75" s="55">
        <v>0</v>
      </c>
      <c r="E75" s="55">
        <v>-23183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-123529</v>
      </c>
      <c r="N75" s="55">
        <v>0</v>
      </c>
      <c r="O75" s="55">
        <v>-12504</v>
      </c>
      <c r="P75" s="55">
        <v>0</v>
      </c>
      <c r="Q75" s="55">
        <v>0</v>
      </c>
      <c r="R75" s="55">
        <v>-60667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-17941</v>
      </c>
      <c r="Z75" s="55">
        <v>0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-196</v>
      </c>
      <c r="AG75" s="55">
        <v>0</v>
      </c>
      <c r="AH75" s="55">
        <v>-50379</v>
      </c>
      <c r="AI75" s="55">
        <v>-107657</v>
      </c>
      <c r="AJ75" s="56">
        <f t="shared" si="12"/>
        <v>-396056</v>
      </c>
      <c r="AK75" s="56">
        <f t="shared" si="13"/>
        <v>31858324</v>
      </c>
      <c r="AL75" s="56">
        <f>ROUND(AK75/'8_2.1.21 SIS'!C75,0)</f>
        <v>6773</v>
      </c>
      <c r="AM75" s="57">
        <f>VLOOKUP($A75,[1]LEA_Summary!$A$7:$O$139,COLUMN([1]LEA_Summary!$I:$I),FALSE)</f>
        <v>-3084</v>
      </c>
      <c r="AN75" s="54">
        <f>IF(AM75&gt;0,AM75,0)</f>
        <v>0</v>
      </c>
      <c r="AO75" s="54">
        <f>IF(AM75&lt;0,AM75,0)</f>
        <v>-3084</v>
      </c>
      <c r="AP75" s="55"/>
      <c r="AQ75" s="55"/>
      <c r="AR75" s="58">
        <f>SUM(AP75:AQ75)</f>
        <v>0</v>
      </c>
      <c r="AS75" s="56">
        <f t="shared" si="16"/>
        <v>31855240</v>
      </c>
      <c r="AT75" s="55">
        <f>VLOOKUP($A75,'4_Level 4'!$A$7:$AP$139,COLUMN('4_Level 4'!$E:$E),FALSE)</f>
        <v>0</v>
      </c>
      <c r="AU75" s="55">
        <f>VLOOKUP($A75,'4_Level 4'!$A$7:$AP$139,COLUMN('4_Level 4'!$Q:$Q),FALSE)</f>
        <v>131157</v>
      </c>
      <c r="AV75" s="55">
        <f>VLOOKUP($A75,'4_Level 4'!$A$7:$AP$139,COLUMN('4_Level 4'!$AC:$AC),FALSE)</f>
        <v>517015</v>
      </c>
      <c r="AW75" s="55">
        <f>VLOOKUP($A75,'4_Level 4'!$A$7:$AP$139,COLUMN('4_Level 4'!$AO:$AO),FALSE)</f>
        <v>413612</v>
      </c>
      <c r="AX75" s="56">
        <f>ROUND(SUM(AS75:AW75),0)</f>
        <v>32917024</v>
      </c>
      <c r="AY75" s="55"/>
      <c r="AZ75" s="55">
        <f>AX75-AY75</f>
        <v>32917024</v>
      </c>
      <c r="BA75" s="55">
        <f t="shared" si="15"/>
        <v>2743085</v>
      </c>
      <c r="BB75" s="55">
        <f>VLOOKUP($A75,'4_Level 4'!$A$7:$AP$139,COLUMN('4_Level 4'!$J:$J),FALSE)</f>
        <v>0</v>
      </c>
      <c r="BC75" s="55">
        <f>VLOOKUP($A75,'4_Level 4'!$A$7:$AP$139,COLUMN('4_Level 4'!$L:$L),FALSE)</f>
        <v>160325</v>
      </c>
      <c r="BD75" s="55">
        <f>VLOOKUP($A75,'4_Level 4'!$A$7:$AP$139,COLUMN('4_Level 4'!$M:$M),FALSE)</f>
        <v>0</v>
      </c>
      <c r="BE75" s="56">
        <f t="shared" si="17"/>
        <v>33077349</v>
      </c>
    </row>
    <row r="76" spans="1:57" ht="15.6" customHeight="1" thickBot="1" x14ac:dyDescent="0.25">
      <c r="A76" s="59"/>
      <c r="B76" s="60" t="s">
        <v>200</v>
      </c>
      <c r="C76" s="61">
        <f t="shared" ref="C76:BE76" si="18">SUM(C7:C75)</f>
        <v>3613778878</v>
      </c>
      <c r="D76" s="61">
        <f t="shared" si="18"/>
        <v>-13802447</v>
      </c>
      <c r="E76" s="61">
        <f t="shared" si="18"/>
        <v>-2544806</v>
      </c>
      <c r="F76" s="61">
        <f t="shared" si="18"/>
        <v>-5714842</v>
      </c>
      <c r="G76" s="61">
        <f t="shared" si="18"/>
        <v>-1637042</v>
      </c>
      <c r="H76" s="61">
        <f t="shared" si="18"/>
        <v>-4611540</v>
      </c>
      <c r="I76" s="61">
        <f t="shared" si="18"/>
        <v>-4336647</v>
      </c>
      <c r="J76" s="61">
        <f t="shared" si="18"/>
        <v>-3437652</v>
      </c>
      <c r="K76" s="61">
        <f t="shared" si="18"/>
        <v>-1382076</v>
      </c>
      <c r="L76" s="61">
        <f t="shared" si="18"/>
        <v>-2356941</v>
      </c>
      <c r="M76" s="61">
        <f>SUM(M7:M75)</f>
        <v>-2594218</v>
      </c>
      <c r="N76" s="61">
        <f t="shared" si="18"/>
        <v>-863125</v>
      </c>
      <c r="O76" s="61">
        <f t="shared" si="18"/>
        <v>-2944106</v>
      </c>
      <c r="P76" s="61">
        <f t="shared" si="18"/>
        <v>-2902147</v>
      </c>
      <c r="Q76" s="61">
        <f t="shared" si="18"/>
        <v>-1954873</v>
      </c>
      <c r="R76" s="61">
        <f t="shared" si="18"/>
        <v>-2865260</v>
      </c>
      <c r="S76" s="61">
        <f t="shared" si="18"/>
        <v>-2163886</v>
      </c>
      <c r="T76" s="61">
        <f t="shared" si="18"/>
        <v>-2170926</v>
      </c>
      <c r="U76" s="61">
        <f t="shared" si="18"/>
        <v>-1149258</v>
      </c>
      <c r="V76" s="61">
        <f t="shared" si="18"/>
        <v>-6326675</v>
      </c>
      <c r="W76" s="61">
        <f t="shared" si="18"/>
        <v>-4670753</v>
      </c>
      <c r="X76" s="61">
        <f t="shared" si="18"/>
        <v>-2947616</v>
      </c>
      <c r="Y76" s="61">
        <f t="shared" si="18"/>
        <v>-3172377</v>
      </c>
      <c r="Z76" s="61">
        <f t="shared" si="18"/>
        <v>-3210722</v>
      </c>
      <c r="AA76" s="61">
        <f t="shared" si="18"/>
        <v>-498185</v>
      </c>
      <c r="AB76" s="61">
        <f t="shared" si="18"/>
        <v>-342181</v>
      </c>
      <c r="AC76" s="61">
        <f t="shared" si="18"/>
        <v>-2109710</v>
      </c>
      <c r="AD76" s="61">
        <f t="shared" si="18"/>
        <v>-773952</v>
      </c>
      <c r="AE76" s="61">
        <f t="shared" si="18"/>
        <v>-5683179</v>
      </c>
      <c r="AF76" s="61">
        <f>SUM(AF7:AF75)</f>
        <v>-851601</v>
      </c>
      <c r="AG76" s="61">
        <f>SUM(AG7:AG75)</f>
        <v>-1543335</v>
      </c>
      <c r="AH76" s="61">
        <f>SUM(AH7:AH75)</f>
        <v>-10833175</v>
      </c>
      <c r="AI76" s="61">
        <f t="shared" si="18"/>
        <v>-19237481</v>
      </c>
      <c r="AJ76" s="62">
        <f t="shared" si="18"/>
        <v>-121632734</v>
      </c>
      <c r="AK76" s="62">
        <f t="shared" si="18"/>
        <v>3492146144</v>
      </c>
      <c r="AL76" s="62">
        <f>ROUND(AK76/'8_2.1.21 SIS'!C76,0)</f>
        <v>5447</v>
      </c>
      <c r="AM76" s="63">
        <f t="shared" ref="AM76:AW76" si="19">SUM(AM7:AM75)</f>
        <v>-1982697</v>
      </c>
      <c r="AN76" s="61">
        <f t="shared" si="19"/>
        <v>180456</v>
      </c>
      <c r="AO76" s="61">
        <f t="shared" si="19"/>
        <v>-2163153</v>
      </c>
      <c r="AP76" s="61">
        <f t="shared" si="19"/>
        <v>0</v>
      </c>
      <c r="AQ76" s="61">
        <f t="shared" si="19"/>
        <v>0</v>
      </c>
      <c r="AR76" s="63">
        <f t="shared" si="19"/>
        <v>0</v>
      </c>
      <c r="AS76" s="62">
        <f t="shared" si="19"/>
        <v>3490163447</v>
      </c>
      <c r="AT76" s="61">
        <f t="shared" si="19"/>
        <v>3843000</v>
      </c>
      <c r="AU76" s="61">
        <f t="shared" si="19"/>
        <v>17148704</v>
      </c>
      <c r="AV76" s="61">
        <f t="shared" si="19"/>
        <v>95529639</v>
      </c>
      <c r="AW76" s="61">
        <f t="shared" si="19"/>
        <v>76423706</v>
      </c>
      <c r="AX76" s="62">
        <f>SUM(AX7:AX75)</f>
        <v>3683108496</v>
      </c>
      <c r="AY76" s="61">
        <f t="shared" si="18"/>
        <v>0</v>
      </c>
      <c r="AZ76" s="61">
        <f t="shared" si="18"/>
        <v>3683108496</v>
      </c>
      <c r="BA76" s="61">
        <f t="shared" si="18"/>
        <v>306925711</v>
      </c>
      <c r="BB76" s="61">
        <f t="shared" si="18"/>
        <v>0</v>
      </c>
      <c r="BC76" s="61">
        <f>SUM(BC7:BC75)</f>
        <v>15365077</v>
      </c>
      <c r="BD76" s="61">
        <f t="shared" si="18"/>
        <v>0</v>
      </c>
      <c r="BE76" s="62">
        <f t="shared" si="18"/>
        <v>3698473573</v>
      </c>
    </row>
    <row r="77" spans="1:57" ht="13.5" thickTop="1" x14ac:dyDescent="0.2">
      <c r="D77" s="64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D77" s="66"/>
      <c r="AE77" s="66"/>
      <c r="AF77" s="66"/>
      <c r="AG77" s="66"/>
      <c r="AI77" s="65"/>
      <c r="AJ77" s="65"/>
      <c r="AK77" s="65"/>
      <c r="AL77" s="65"/>
      <c r="AM77" s="65"/>
      <c r="BA77" s="41">
        <v>12</v>
      </c>
      <c r="BE77" s="67"/>
    </row>
    <row r="78" spans="1:57" ht="15.6" customHeight="1" x14ac:dyDescent="0.2">
      <c r="D78" s="64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4"/>
      <c r="AJ78" s="65"/>
      <c r="AK78" s="65"/>
      <c r="AL78" s="65"/>
      <c r="AM78" s="65"/>
      <c r="AS78" s="67"/>
      <c r="AT78" s="68"/>
      <c r="AU78" s="68"/>
      <c r="AV78" s="68"/>
      <c r="AW78" s="68"/>
      <c r="AX78" s="67"/>
      <c r="AY78" s="67"/>
      <c r="BA78" s="69"/>
      <c r="BD78" s="70"/>
      <c r="BE78" s="67"/>
    </row>
  </sheetData>
  <sheetProtection password="D893" sheet="1" objects="1" scenarios="1"/>
  <mergeCells count="20">
    <mergeCell ref="BB1:BD1"/>
    <mergeCell ref="BE1:BE2"/>
    <mergeCell ref="AS1:AS2"/>
    <mergeCell ref="AT1:AW1"/>
    <mergeCell ref="AX1:AX2"/>
    <mergeCell ref="AY1:AY2"/>
    <mergeCell ref="AZ1:AZ2"/>
    <mergeCell ref="BA1:BA2"/>
    <mergeCell ref="AP1:AR1"/>
    <mergeCell ref="A1:B2"/>
    <mergeCell ref="C1:C2"/>
    <mergeCell ref="D1:H1"/>
    <mergeCell ref="I1:N1"/>
    <mergeCell ref="O1:T1"/>
    <mergeCell ref="U1:Z1"/>
    <mergeCell ref="AA1:AF1"/>
    <mergeCell ref="AG1:AJ1"/>
    <mergeCell ref="AK1:AK2"/>
    <mergeCell ref="AL1:AL2"/>
    <mergeCell ref="AM1:AO1"/>
  </mergeCells>
  <printOptions horizontalCentered="1"/>
  <pageMargins left="0.35" right="0.35" top="1.05" bottom="0.5" header="0.5" footer="0.25"/>
  <pageSetup paperSize="5" scale="73" firstPageNumber="3" fitToWidth="0" fitToHeight="0" orientation="portrait" r:id="rId1"/>
  <headerFooter alignWithMargins="0">
    <oddHeader>&amp;L&amp;"Arial,Bold"&amp;18&amp;K000000Table 2: FY2021-22 Budget Letter
MFP Distribution and Adjustments July 2021</oddHeader>
    <oddFooter>&amp;R&amp;P</oddFooter>
  </headerFooter>
  <colBreaks count="9" manualBreakCount="9">
    <brk id="8" max="75" man="1"/>
    <brk id="14" max="75" man="1"/>
    <brk id="20" max="75" man="1"/>
    <brk id="26" max="75" man="1"/>
    <brk id="32" max="75" man="1"/>
    <brk id="38" max="75" man="1"/>
    <brk id="45" max="1048575" man="1"/>
    <brk id="49" max="75" man="1"/>
    <brk id="53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78"/>
  <sheetViews>
    <sheetView zoomScaleNormal="100" zoomScaleSheetLayoutView="100" workbookViewId="0">
      <pane xSplit="2" ySplit="5" topLeftCell="C6" activePane="bottomRight" state="frozen"/>
      <selection activeCell="B7" sqref="B7"/>
      <selection pane="topRight" activeCell="B7" sqref="B7"/>
      <selection pane="bottomLeft" activeCell="B7" sqref="B7"/>
      <selection pane="bottomRight" activeCell="C6" sqref="C6"/>
    </sheetView>
  </sheetViews>
  <sheetFormatPr defaultColWidth="9.140625" defaultRowHeight="12.75" x14ac:dyDescent="0.2"/>
  <cols>
    <col min="1" max="1" width="5.5703125" customWidth="1"/>
    <col min="2" max="2" width="19.5703125" customWidth="1"/>
    <col min="3" max="8" width="16" customWidth="1"/>
    <col min="9" max="9" width="15.28515625" customWidth="1"/>
    <col min="10" max="12" width="14.5703125" customWidth="1"/>
    <col min="13" max="14" width="16.5703125" customWidth="1"/>
    <col min="15" max="15" width="20.7109375" customWidth="1"/>
    <col min="16" max="19" width="17.42578125" customWidth="1"/>
    <col min="20" max="20" width="11.5703125" bestFit="1" customWidth="1"/>
  </cols>
  <sheetData>
    <row r="1" spans="1:19" ht="27.75" customHeight="1" x14ac:dyDescent="0.2">
      <c r="A1" s="1142" t="s">
        <v>201</v>
      </c>
      <c r="B1" s="1142"/>
      <c r="C1" s="1143" t="s">
        <v>1246</v>
      </c>
      <c r="D1" s="1144"/>
      <c r="E1" s="1144"/>
      <c r="F1" s="1144"/>
      <c r="G1" s="1144"/>
      <c r="H1" s="1144"/>
      <c r="I1" s="1143" t="s">
        <v>1247</v>
      </c>
      <c r="J1" s="1143"/>
      <c r="K1" s="1143"/>
      <c r="L1" s="1143"/>
      <c r="M1" s="1145" t="s">
        <v>1248</v>
      </c>
      <c r="N1" s="1145"/>
      <c r="O1" s="878" t="s">
        <v>1249</v>
      </c>
      <c r="P1" s="1146" t="s">
        <v>16</v>
      </c>
      <c r="Q1" s="1146" t="s">
        <v>1250</v>
      </c>
      <c r="R1" s="1140" t="s">
        <v>1251</v>
      </c>
      <c r="S1" s="878" t="s">
        <v>1252</v>
      </c>
    </row>
    <row r="2" spans="1:19" ht="117.75" customHeight="1" x14ac:dyDescent="0.2">
      <c r="A2" s="1142"/>
      <c r="B2" s="1142"/>
      <c r="C2" s="879" t="s">
        <v>1253</v>
      </c>
      <c r="D2" s="879" t="s">
        <v>1254</v>
      </c>
      <c r="E2" s="879" t="s">
        <v>1255</v>
      </c>
      <c r="F2" s="880" t="s">
        <v>1256</v>
      </c>
      <c r="G2" s="879" t="s">
        <v>1257</v>
      </c>
      <c r="H2" s="880" t="s">
        <v>1258</v>
      </c>
      <c r="I2" s="879" t="s">
        <v>1259</v>
      </c>
      <c r="J2" s="879" t="s">
        <v>1260</v>
      </c>
      <c r="K2" s="879" t="s">
        <v>1261</v>
      </c>
      <c r="L2" s="879" t="s">
        <v>1262</v>
      </c>
      <c r="M2" s="881" t="s">
        <v>1263</v>
      </c>
      <c r="N2" s="881" t="s">
        <v>1264</v>
      </c>
      <c r="O2" s="880" t="s">
        <v>1265</v>
      </c>
      <c r="P2" s="1147"/>
      <c r="Q2" s="1147"/>
      <c r="R2" s="1141"/>
      <c r="S2" s="880" t="s">
        <v>1266</v>
      </c>
    </row>
    <row r="3" spans="1:19" ht="14.45" customHeight="1" x14ac:dyDescent="0.2">
      <c r="A3" s="882"/>
      <c r="B3" s="882"/>
      <c r="C3" s="883">
        <f>B3+1</f>
        <v>1</v>
      </c>
      <c r="D3" s="884">
        <f t="shared" ref="D3:N3" si="0">C3+1</f>
        <v>2</v>
      </c>
      <c r="E3" s="884">
        <f t="shared" si="0"/>
        <v>3</v>
      </c>
      <c r="F3" s="884">
        <f t="shared" si="0"/>
        <v>4</v>
      </c>
      <c r="G3" s="884">
        <f>F3+1</f>
        <v>5</v>
      </c>
      <c r="H3" s="884">
        <f t="shared" si="0"/>
        <v>6</v>
      </c>
      <c r="I3" s="884">
        <f t="shared" si="0"/>
        <v>7</v>
      </c>
      <c r="J3" s="884">
        <f t="shared" si="0"/>
        <v>8</v>
      </c>
      <c r="K3" s="884">
        <f t="shared" si="0"/>
        <v>9</v>
      </c>
      <c r="L3" s="884">
        <f t="shared" si="0"/>
        <v>10</v>
      </c>
      <c r="M3" s="884">
        <f t="shared" si="0"/>
        <v>11</v>
      </c>
      <c r="N3" s="884">
        <f t="shared" si="0"/>
        <v>12</v>
      </c>
      <c r="O3" s="884">
        <f>N3+1</f>
        <v>13</v>
      </c>
      <c r="P3" s="884">
        <f>O3+1</f>
        <v>14</v>
      </c>
      <c r="Q3" s="884">
        <f t="shared" ref="Q3:S3" si="1">P3+1</f>
        <v>15</v>
      </c>
      <c r="R3" s="884">
        <f t="shared" si="1"/>
        <v>16</v>
      </c>
      <c r="S3" s="884">
        <f t="shared" si="1"/>
        <v>17</v>
      </c>
    </row>
    <row r="4" spans="1:19" s="65" customFormat="1" ht="25.5" hidden="1" x14ac:dyDescent="0.2">
      <c r="A4" s="885"/>
      <c r="B4" s="886"/>
      <c r="C4" s="887" t="s">
        <v>73</v>
      </c>
      <c r="D4" s="887" t="s">
        <v>73</v>
      </c>
      <c r="E4" s="887" t="s">
        <v>73</v>
      </c>
      <c r="F4" s="887" t="s">
        <v>74</v>
      </c>
      <c r="G4" s="887" t="s">
        <v>445</v>
      </c>
      <c r="H4" s="887" t="s">
        <v>74</v>
      </c>
      <c r="I4" s="887" t="s">
        <v>73</v>
      </c>
      <c r="J4" s="887" t="s">
        <v>73</v>
      </c>
      <c r="K4" s="887" t="s">
        <v>73</v>
      </c>
      <c r="L4" s="887" t="s">
        <v>73</v>
      </c>
      <c r="M4" s="887" t="s">
        <v>1267</v>
      </c>
      <c r="N4" s="887" t="s">
        <v>1267</v>
      </c>
      <c r="O4" s="887" t="s">
        <v>74</v>
      </c>
      <c r="P4" s="887"/>
      <c r="Q4" s="887"/>
      <c r="R4" s="887"/>
      <c r="S4" s="887"/>
    </row>
    <row r="5" spans="1:19" s="241" customFormat="1" ht="22.5" x14ac:dyDescent="0.2">
      <c r="A5" s="888"/>
      <c r="B5" s="889"/>
      <c r="C5" s="890" t="s">
        <v>1268</v>
      </c>
      <c r="D5" s="890" t="s">
        <v>1269</v>
      </c>
      <c r="E5" s="890" t="s">
        <v>1270</v>
      </c>
      <c r="F5" s="890" t="s">
        <v>1271</v>
      </c>
      <c r="G5" s="890" t="s">
        <v>1272</v>
      </c>
      <c r="H5" s="890" t="s">
        <v>1273</v>
      </c>
      <c r="I5" s="890" t="s">
        <v>1274</v>
      </c>
      <c r="J5" s="890" t="s">
        <v>1275</v>
      </c>
      <c r="K5" s="890" t="s">
        <v>1276</v>
      </c>
      <c r="L5" s="890" t="s">
        <v>1277</v>
      </c>
      <c r="M5" s="890" t="s">
        <v>1278</v>
      </c>
      <c r="N5" s="890" t="s">
        <v>1279</v>
      </c>
      <c r="O5" s="890" t="s">
        <v>1280</v>
      </c>
      <c r="P5" s="890" t="s">
        <v>1281</v>
      </c>
      <c r="Q5" s="890" t="s">
        <v>1282</v>
      </c>
      <c r="R5" s="890" t="s">
        <v>1283</v>
      </c>
      <c r="S5" s="890" t="s">
        <v>1284</v>
      </c>
    </row>
    <row r="6" spans="1:19" ht="16.149999999999999" customHeight="1" x14ac:dyDescent="0.2">
      <c r="A6" s="891">
        <v>1</v>
      </c>
      <c r="B6" s="892" t="s">
        <v>131</v>
      </c>
      <c r="C6" s="893">
        <f>'[9]21-22 Initial_Type1,1B,2,3,3B,4'!C7</f>
        <v>3069.1867288043941</v>
      </c>
      <c r="D6" s="893">
        <f>'[9]21-22 Initial_Type1,1B,2,3,3B,4'!H7</f>
        <v>816</v>
      </c>
      <c r="E6" s="893">
        <f>'[9]21-22 Initial_Type1,1B,2,3,3B,4'!J7</f>
        <v>171.35731956545123</v>
      </c>
      <c r="F6" s="894">
        <f>SUM(C6:E6)</f>
        <v>4056.5440483698453</v>
      </c>
      <c r="G6" s="893">
        <v>777.48</v>
      </c>
      <c r="H6" s="894">
        <f t="shared" ref="H6:H69" si="2">SUM(F6:G6)</f>
        <v>4834.0240483698453</v>
      </c>
      <c r="I6" s="893">
        <f>'[9]21-22 Initial_Type1,1B,2,3,3B,4'!D7</f>
        <v>675.22108033696668</v>
      </c>
      <c r="J6" s="893">
        <f>'[9]21-22 Initial_Type1,1B,2,3,3B,4'!E7</f>
        <v>184.15120372826368</v>
      </c>
      <c r="K6" s="893">
        <f>'[9]21-22 Initial_Type1,1B,2,3,3B,4'!F7</f>
        <v>4603.780093206592</v>
      </c>
      <c r="L6" s="893">
        <f>'[9]21-22 Initial_Type1,1B,2,3,3B,4'!G7</f>
        <v>1841.5120372826366</v>
      </c>
      <c r="M6" s="893">
        <f>'[9]21-22 Initial_Type1,1B,2,3,3B,4'!K7</f>
        <v>2986</v>
      </c>
      <c r="N6" s="893">
        <f>'[9]21-22 Initial_Type1,1B,2,3,3B,4'!N7</f>
        <v>2986</v>
      </c>
      <c r="O6" s="894">
        <f t="shared" ref="O6:O69" si="3">F6+N6</f>
        <v>7042.5440483698458</v>
      </c>
      <c r="P6" s="893">
        <f>'2_State Distrib and Adjs'!AL7</f>
        <v>5958</v>
      </c>
      <c r="Q6" s="893">
        <f>'3_Levels 1&amp;2'!AM7</f>
        <v>5181.3064429385822</v>
      </c>
      <c r="R6" s="893">
        <f>'3_Levels 1&amp;2'!AU7</f>
        <v>2663.91</v>
      </c>
      <c r="S6" s="893">
        <f>G6+Q6+R6</f>
        <v>8622.6964429385825</v>
      </c>
    </row>
    <row r="7" spans="1:19" ht="16.149999999999999" customHeight="1" x14ac:dyDescent="0.2">
      <c r="A7" s="895">
        <v>2</v>
      </c>
      <c r="B7" s="896" t="s">
        <v>132</v>
      </c>
      <c r="C7" s="897">
        <f>'[9]21-22 Initial_Type1,1B,2,3,3B,4'!C8</f>
        <v>3385.4983208956351</v>
      </c>
      <c r="D7" s="897">
        <f>'[9]21-22 Initial_Type1,1B,2,3,3B,4'!H8</f>
        <v>1472</v>
      </c>
      <c r="E7" s="897">
        <f>'[9]21-22 Initial_Type1,1B,2,3,3B,4'!J8</f>
        <v>171.35736354273945</v>
      </c>
      <c r="F7" s="898">
        <f t="shared" ref="F7:F70" si="4">SUM(C7:E7)</f>
        <v>5028.8556844383738</v>
      </c>
      <c r="G7" s="897">
        <v>842.32</v>
      </c>
      <c r="H7" s="898">
        <f t="shared" si="2"/>
        <v>5871.1756844383735</v>
      </c>
      <c r="I7" s="897">
        <f>'[9]21-22 Initial_Type1,1B,2,3,3B,4'!D8</f>
        <v>744.8096305970397</v>
      </c>
      <c r="J7" s="897">
        <f>'[9]21-22 Initial_Type1,1B,2,3,3B,4'!E8</f>
        <v>203.1298992537381</v>
      </c>
      <c r="K7" s="897">
        <f>'[9]21-22 Initial_Type1,1B,2,3,3B,4'!F8</f>
        <v>5078.2474813434528</v>
      </c>
      <c r="L7" s="897">
        <f>'[9]21-22 Initial_Type1,1B,2,3,3B,4'!G8</f>
        <v>2031.2989925373811</v>
      </c>
      <c r="M7" s="897">
        <f>'[9]21-22 Initial_Type1,1B,2,3,3B,4'!K8</f>
        <v>2986</v>
      </c>
      <c r="N7" s="897">
        <f>'[9]21-22 Initial_Type1,1B,2,3,3B,4'!N8</f>
        <v>3534</v>
      </c>
      <c r="O7" s="898">
        <f t="shared" si="3"/>
        <v>8562.8556844383747</v>
      </c>
      <c r="P7" s="897">
        <f>'2_State Distrib and Adjs'!AL8</f>
        <v>7489</v>
      </c>
      <c r="Q7" s="897">
        <f>'3_Levels 1&amp;2'!AM8</f>
        <v>6641.3905767250253</v>
      </c>
      <c r="R7" s="897">
        <f>'3_Levels 1&amp;2'!AU8</f>
        <v>2944.74</v>
      </c>
      <c r="S7" s="897">
        <f t="shared" ref="S7:S70" si="5">G7+Q7+R7</f>
        <v>10428.450576725025</v>
      </c>
    </row>
    <row r="8" spans="1:19" ht="16.149999999999999" customHeight="1" x14ac:dyDescent="0.2">
      <c r="A8" s="895">
        <v>3</v>
      </c>
      <c r="B8" s="896" t="s">
        <v>133</v>
      </c>
      <c r="C8" s="897">
        <f>'[9]21-22 Initial_Type1,1B,2,3,3B,4'!C9</f>
        <v>2553.8008392271504</v>
      </c>
      <c r="D8" s="897">
        <f>'[9]21-22 Initial_Type1,1B,2,3,3B,4'!H9</f>
        <v>672</v>
      </c>
      <c r="E8" s="897">
        <f>'[9]21-22 Initial_Type1,1B,2,3,3B,4'!J9</f>
        <v>171.35728568944532</v>
      </c>
      <c r="F8" s="898">
        <f t="shared" si="4"/>
        <v>3397.1581249165956</v>
      </c>
      <c r="G8" s="897">
        <v>596.84</v>
      </c>
      <c r="H8" s="898">
        <f t="shared" si="2"/>
        <v>3993.9981249165958</v>
      </c>
      <c r="I8" s="897">
        <f>'[9]21-22 Initial_Type1,1B,2,3,3B,4'!D9</f>
        <v>561.83618462997322</v>
      </c>
      <c r="J8" s="897">
        <f>'[9]21-22 Initial_Type1,1B,2,3,3B,4'!E9</f>
        <v>153.22805035362904</v>
      </c>
      <c r="K8" s="897">
        <f>'[9]21-22 Initial_Type1,1B,2,3,3B,4'!F9</f>
        <v>3830.7012588407251</v>
      </c>
      <c r="L8" s="897">
        <f>'[9]21-22 Initial_Type1,1B,2,3,3B,4'!G9</f>
        <v>1532.2805035362899</v>
      </c>
      <c r="M8" s="897">
        <f>'[9]21-22 Initial_Type1,1B,2,3,3B,4'!K9</f>
        <v>6157</v>
      </c>
      <c r="N8" s="897">
        <f>'[9]21-22 Initial_Type1,1B,2,3,3B,4'!N9</f>
        <v>7135</v>
      </c>
      <c r="O8" s="898">
        <f t="shared" si="3"/>
        <v>10532.158124916596</v>
      </c>
      <c r="P8" s="897">
        <f>'2_State Distrib and Adjs'!AL9</f>
        <v>4802</v>
      </c>
      <c r="Q8" s="897">
        <f>'3_Levels 1&amp;2'!AM9</f>
        <v>4206.0866371065904</v>
      </c>
      <c r="R8" s="897">
        <f>'3_Levels 1&amp;2'!AU9</f>
        <v>3721.15</v>
      </c>
      <c r="S8" s="897">
        <f t="shared" si="5"/>
        <v>8524.0766371065911</v>
      </c>
    </row>
    <row r="9" spans="1:19" ht="16.149999999999999" customHeight="1" x14ac:dyDescent="0.2">
      <c r="A9" s="895">
        <v>4</v>
      </c>
      <c r="B9" s="896" t="s">
        <v>134</v>
      </c>
      <c r="C9" s="897">
        <f>'[9]21-22 Initial_Type1,1B,2,3,3B,4'!C10</f>
        <v>3036.8182077181432</v>
      </c>
      <c r="D9" s="897">
        <f>'[9]21-22 Initial_Type1,1B,2,3,3B,4'!H10</f>
        <v>1229</v>
      </c>
      <c r="E9" s="897">
        <f>'[9]21-22 Initial_Type1,1B,2,3,3B,4'!J10</f>
        <v>171.35731171901384</v>
      </c>
      <c r="F9" s="898">
        <f t="shared" si="4"/>
        <v>4437.1755194371563</v>
      </c>
      <c r="G9" s="897">
        <v>585.76</v>
      </c>
      <c r="H9" s="898">
        <f t="shared" si="2"/>
        <v>5022.9355194371565</v>
      </c>
      <c r="I9" s="897">
        <f>'[9]21-22 Initial_Type1,1B,2,3,3B,4'!D10</f>
        <v>668.10000569799149</v>
      </c>
      <c r="J9" s="897">
        <f>'[9]21-22 Initial_Type1,1B,2,3,3B,4'!E10</f>
        <v>182.20909246308861</v>
      </c>
      <c r="K9" s="897">
        <f>'[9]21-22 Initial_Type1,1B,2,3,3B,4'!F10</f>
        <v>4555.227311577215</v>
      </c>
      <c r="L9" s="897">
        <f>'[9]21-22 Initial_Type1,1B,2,3,3B,4'!G10</f>
        <v>1822.0909246308859</v>
      </c>
      <c r="M9" s="897">
        <f>'[9]21-22 Initial_Type1,1B,2,3,3B,4'!K10</f>
        <v>4557</v>
      </c>
      <c r="N9" s="897">
        <f>'[9]21-22 Initial_Type1,1B,2,3,3B,4'!N10</f>
        <v>4557</v>
      </c>
      <c r="O9" s="898">
        <f t="shared" si="3"/>
        <v>8994.1755194371563</v>
      </c>
      <c r="P9" s="897">
        <f>'2_State Distrib and Adjs'!AL10</f>
        <v>6704</v>
      </c>
      <c r="Q9" s="897">
        <f>'3_Levels 1&amp;2'!AM10</f>
        <v>6104.3289429246879</v>
      </c>
      <c r="R9" s="897">
        <f>'3_Levels 1&amp;2'!AU10</f>
        <v>3629.97</v>
      </c>
      <c r="S9" s="897">
        <f t="shared" si="5"/>
        <v>10320.058942924688</v>
      </c>
    </row>
    <row r="10" spans="1:19" ht="16.149999999999999" customHeight="1" x14ac:dyDescent="0.2">
      <c r="A10" s="899">
        <v>5</v>
      </c>
      <c r="B10" s="900" t="s">
        <v>135</v>
      </c>
      <c r="C10" s="901">
        <f>'[9]21-22 Initial_Type1,1B,2,3,3B,4'!C11</f>
        <v>3243.5700484391991</v>
      </c>
      <c r="D10" s="901">
        <f>'[9]21-22 Initial_Type1,1B,2,3,3B,4'!H11</f>
        <v>819</v>
      </c>
      <c r="E10" s="901">
        <f>'[9]21-22 Initial_Type1,1B,2,3,3B,4'!J11</f>
        <v>171.35726593911545</v>
      </c>
      <c r="F10" s="902">
        <f t="shared" si="4"/>
        <v>4233.9273143783148</v>
      </c>
      <c r="G10" s="901">
        <v>555.91</v>
      </c>
      <c r="H10" s="902">
        <f t="shared" si="2"/>
        <v>4789.8373143783147</v>
      </c>
      <c r="I10" s="901">
        <f>'[9]21-22 Initial_Type1,1B,2,3,3B,4'!D11</f>
        <v>713.58541065662382</v>
      </c>
      <c r="J10" s="901">
        <f>'[9]21-22 Initial_Type1,1B,2,3,3B,4'!E11</f>
        <v>194.61420290635192</v>
      </c>
      <c r="K10" s="901">
        <f>'[9]21-22 Initial_Type1,1B,2,3,3B,4'!F11</f>
        <v>4865.3550726587982</v>
      </c>
      <c r="L10" s="901">
        <f>'[9]21-22 Initial_Type1,1B,2,3,3B,4'!G11</f>
        <v>1946.142029063519</v>
      </c>
      <c r="M10" s="901">
        <f>'[9]21-22 Initial_Type1,1B,2,3,3B,4'!K11</f>
        <v>2444</v>
      </c>
      <c r="N10" s="901">
        <f>'[9]21-22 Initial_Type1,1B,2,3,3B,4'!N11</f>
        <v>2444</v>
      </c>
      <c r="O10" s="902">
        <f t="shared" si="3"/>
        <v>6677.9273143783148</v>
      </c>
      <c r="P10" s="901">
        <f>'2_State Distrib and Adjs'!AL11</f>
        <v>6321</v>
      </c>
      <c r="Q10" s="901">
        <f>'3_Levels 1&amp;2'!AM11</f>
        <v>5728.6034845874019</v>
      </c>
      <c r="R10" s="901">
        <f>'3_Levels 1&amp;2'!AU11</f>
        <v>2349.7600000000002</v>
      </c>
      <c r="S10" s="901">
        <f t="shared" si="5"/>
        <v>8634.273484587402</v>
      </c>
    </row>
    <row r="11" spans="1:19" ht="16.149999999999999" customHeight="1" x14ac:dyDescent="0.2">
      <c r="A11" s="891">
        <v>6</v>
      </c>
      <c r="B11" s="892" t="s">
        <v>136</v>
      </c>
      <c r="C11" s="893">
        <f>'[9]21-22 Initial_Type1,1B,2,3,3B,4'!C12</f>
        <v>2972.2083292259417</v>
      </c>
      <c r="D11" s="893">
        <f>'[9]21-22 Initial_Type1,1B,2,3,3B,4'!H12</f>
        <v>1112</v>
      </c>
      <c r="E11" s="893">
        <f>'[9]21-22 Initial_Type1,1B,2,3,3B,4'!J12</f>
        <v>171.35719360568385</v>
      </c>
      <c r="F11" s="894">
        <f t="shared" si="4"/>
        <v>4255.5655228316255</v>
      </c>
      <c r="G11" s="893">
        <v>545.4799999999999</v>
      </c>
      <c r="H11" s="894">
        <f t="shared" si="2"/>
        <v>4801.045522831625</v>
      </c>
      <c r="I11" s="893">
        <f>'[9]21-22 Initial_Type1,1B,2,3,3B,4'!D12</f>
        <v>653.88583242970719</v>
      </c>
      <c r="J11" s="893">
        <f>'[9]21-22 Initial_Type1,1B,2,3,3B,4'!E12</f>
        <v>178.3324997535565</v>
      </c>
      <c r="K11" s="893">
        <f>'[9]21-22 Initial_Type1,1B,2,3,3B,4'!F12</f>
        <v>4458.3124938389128</v>
      </c>
      <c r="L11" s="893">
        <f>'[9]21-22 Initial_Type1,1B,2,3,3B,4'!G12</f>
        <v>1783.3249975355652</v>
      </c>
      <c r="M11" s="893">
        <f>'[9]21-22 Initial_Type1,1B,2,3,3B,4'!K12</f>
        <v>3978</v>
      </c>
      <c r="N11" s="893">
        <f>'[9]21-22 Initial_Type1,1B,2,3,3B,4'!N12</f>
        <v>4838</v>
      </c>
      <c r="O11" s="894">
        <f t="shared" si="3"/>
        <v>9093.5655228316245</v>
      </c>
      <c r="P11" s="893">
        <f>'2_State Distrib and Adjs'!AL12</f>
        <v>6206</v>
      </c>
      <c r="Q11" s="893">
        <f>'3_Levels 1&amp;2'!AM12</f>
        <v>5660.6717584369453</v>
      </c>
      <c r="R11" s="893">
        <f>'3_Levels 1&amp;2'!AU12</f>
        <v>3545.95</v>
      </c>
      <c r="S11" s="893">
        <f t="shared" si="5"/>
        <v>9752.1017584369438</v>
      </c>
    </row>
    <row r="12" spans="1:19" ht="16.149999999999999" customHeight="1" x14ac:dyDescent="0.2">
      <c r="A12" s="895">
        <v>7</v>
      </c>
      <c r="B12" s="896" t="s">
        <v>137</v>
      </c>
      <c r="C12" s="897">
        <f>'[9]21-22 Initial_Type1,1B,2,3,3B,4'!C13</f>
        <v>1884.2531947629002</v>
      </c>
      <c r="D12" s="897">
        <f>'[9]21-22 Initial_Type1,1B,2,3,3B,4'!H13</f>
        <v>187</v>
      </c>
      <c r="E12" s="897">
        <f>'[9]21-22 Initial_Type1,1B,2,3,3B,4'!J13</f>
        <v>171.35721544715446</v>
      </c>
      <c r="F12" s="898">
        <f t="shared" si="4"/>
        <v>2242.6104102100549</v>
      </c>
      <c r="G12" s="897">
        <v>756.91999999999985</v>
      </c>
      <c r="H12" s="898">
        <f t="shared" si="2"/>
        <v>2999.5304102100545</v>
      </c>
      <c r="I12" s="897">
        <f>'[9]21-22 Initial_Type1,1B,2,3,3B,4'!D13</f>
        <v>414.53570284783814</v>
      </c>
      <c r="J12" s="897">
        <f>'[9]21-22 Initial_Type1,1B,2,3,3B,4'!E13</f>
        <v>113.05519168577402</v>
      </c>
      <c r="K12" s="897">
        <f>'[9]21-22 Initial_Type1,1B,2,3,3B,4'!F13</f>
        <v>2826.3797921443506</v>
      </c>
      <c r="L12" s="897">
        <f>'[9]21-22 Initial_Type1,1B,2,3,3B,4'!G13</f>
        <v>1130.5519168577403</v>
      </c>
      <c r="M12" s="897">
        <f>'[9]21-22 Initial_Type1,1B,2,3,3B,4'!K13</f>
        <v>12717</v>
      </c>
      <c r="N12" s="897">
        <f>'[9]21-22 Initial_Type1,1B,2,3,3B,4'!N13</f>
        <v>13871</v>
      </c>
      <c r="O12" s="898">
        <f t="shared" si="3"/>
        <v>16113.610410210054</v>
      </c>
      <c r="P12" s="897">
        <f>'2_State Distrib and Adjs'!AL13</f>
        <v>4080</v>
      </c>
      <c r="Q12" s="897">
        <f>'3_Levels 1&amp;2'!AM13</f>
        <v>3322.8445121951218</v>
      </c>
      <c r="R12" s="897">
        <f>'3_Levels 1&amp;2'!AU13</f>
        <v>5499.53</v>
      </c>
      <c r="S12" s="897">
        <f t="shared" si="5"/>
        <v>9579.2945121951216</v>
      </c>
    </row>
    <row r="13" spans="1:19" ht="16.149999999999999" customHeight="1" x14ac:dyDescent="0.2">
      <c r="A13" s="895">
        <v>8</v>
      </c>
      <c r="B13" s="896" t="s">
        <v>138</v>
      </c>
      <c r="C13" s="897">
        <f>'[9]21-22 Initial_Type1,1B,2,3,3B,4'!C14</f>
        <v>2877.8782373072495</v>
      </c>
      <c r="D13" s="897">
        <f>'[9]21-22 Initial_Type1,1B,2,3,3B,4'!H14</f>
        <v>973</v>
      </c>
      <c r="E13" s="897">
        <f>'[9]21-22 Initial_Type1,1B,2,3,3B,4'!J14</f>
        <v>171.35725294650953</v>
      </c>
      <c r="F13" s="898">
        <f t="shared" si="4"/>
        <v>4022.2354902537591</v>
      </c>
      <c r="G13" s="897">
        <v>725.76</v>
      </c>
      <c r="H13" s="898">
        <f t="shared" si="2"/>
        <v>4747.9954902537593</v>
      </c>
      <c r="I13" s="897">
        <f>'[9]21-22 Initial_Type1,1B,2,3,3B,4'!D14</f>
        <v>633.13321220759485</v>
      </c>
      <c r="J13" s="897">
        <f>'[9]21-22 Initial_Type1,1B,2,3,3B,4'!E14</f>
        <v>172.67269423843499</v>
      </c>
      <c r="K13" s="897">
        <f>'[9]21-22 Initial_Type1,1B,2,3,3B,4'!F14</f>
        <v>4316.817355960874</v>
      </c>
      <c r="L13" s="897">
        <f>'[9]21-22 Initial_Type1,1B,2,3,3B,4'!G14</f>
        <v>1726.7269423843495</v>
      </c>
      <c r="M13" s="897">
        <f>'[9]21-22 Initial_Type1,1B,2,3,3B,4'!K14</f>
        <v>4597</v>
      </c>
      <c r="N13" s="897">
        <f>'[9]21-22 Initial_Type1,1B,2,3,3B,4'!N14</f>
        <v>5190</v>
      </c>
      <c r="O13" s="898">
        <f t="shared" si="3"/>
        <v>9212.2354902537591</v>
      </c>
      <c r="P13" s="897">
        <f>'2_State Distrib and Adjs'!AL14</f>
        <v>5867</v>
      </c>
      <c r="Q13" s="897">
        <f>'3_Levels 1&amp;2'!AM14</f>
        <v>5141.9743880326387</v>
      </c>
      <c r="R13" s="897">
        <f>'3_Levels 1&amp;2'!AU14</f>
        <v>3476.1</v>
      </c>
      <c r="S13" s="897">
        <f t="shared" si="5"/>
        <v>9343.8343880326393</v>
      </c>
    </row>
    <row r="14" spans="1:19" ht="16.149999999999999" customHeight="1" x14ac:dyDescent="0.2">
      <c r="A14" s="895">
        <v>9</v>
      </c>
      <c r="B14" s="896" t="s">
        <v>139</v>
      </c>
      <c r="C14" s="897">
        <f>'[9]21-22 Initial_Type1,1B,2,3,3B,4'!C15</f>
        <v>2713.9020582816461</v>
      </c>
      <c r="D14" s="897">
        <f>'[9]21-22 Initial_Type1,1B,2,3,3B,4'!H15</f>
        <v>839</v>
      </c>
      <c r="E14" s="897">
        <f>'[9]21-22 Initial_Type1,1B,2,3,3B,4'!J15</f>
        <v>171.35726187549508</v>
      </c>
      <c r="F14" s="898">
        <f t="shared" si="4"/>
        <v>3724.2593201571412</v>
      </c>
      <c r="G14" s="897">
        <v>744.76</v>
      </c>
      <c r="H14" s="898">
        <f t="shared" si="2"/>
        <v>4469.019320157141</v>
      </c>
      <c r="I14" s="897">
        <f>'[9]21-22 Initial_Type1,1B,2,3,3B,4'!D15</f>
        <v>597.05845282196208</v>
      </c>
      <c r="J14" s="897">
        <f>'[9]21-22 Initial_Type1,1B,2,3,3B,4'!E15</f>
        <v>162.83412349689877</v>
      </c>
      <c r="K14" s="897">
        <f>'[9]21-22 Initial_Type1,1B,2,3,3B,4'!F15</f>
        <v>4070.8530874224698</v>
      </c>
      <c r="L14" s="897">
        <f>'[9]21-22 Initial_Type1,1B,2,3,3B,4'!G15</f>
        <v>1628.3412349689875</v>
      </c>
      <c r="M14" s="897">
        <f>'[9]21-22 Initial_Type1,1B,2,3,3B,4'!K15</f>
        <v>5184</v>
      </c>
      <c r="N14" s="897">
        <f>'[9]21-22 Initial_Type1,1B,2,3,3B,4'!N15</f>
        <v>6027</v>
      </c>
      <c r="O14" s="898">
        <f t="shared" si="3"/>
        <v>9751.2593201571417</v>
      </c>
      <c r="P14" s="897">
        <f>'2_State Distrib and Adjs'!AL15</f>
        <v>5522</v>
      </c>
      <c r="Q14" s="897">
        <f>'3_Levels 1&amp;2'!AM15</f>
        <v>4777.8289218498185</v>
      </c>
      <c r="R14" s="897">
        <f>'3_Levels 1&amp;2'!AU15</f>
        <v>3701.53</v>
      </c>
      <c r="S14" s="897">
        <f t="shared" si="5"/>
        <v>9224.1189218498184</v>
      </c>
    </row>
    <row r="15" spans="1:19" ht="16.149999999999999" customHeight="1" x14ac:dyDescent="0.2">
      <c r="A15" s="899">
        <v>10</v>
      </c>
      <c r="B15" s="900" t="s">
        <v>140</v>
      </c>
      <c r="C15" s="901">
        <f>'[9]21-22 Initial_Type1,1B,2,3,3B,4'!C16</f>
        <v>2129.1816722800286</v>
      </c>
      <c r="D15" s="901">
        <f>'[9]21-22 Initial_Type1,1B,2,3,3B,4'!H16</f>
        <v>382</v>
      </c>
      <c r="E15" s="901">
        <f>'[9]21-22 Initial_Type1,1B,2,3,3B,4'!J16</f>
        <v>171.35726941115163</v>
      </c>
      <c r="F15" s="902">
        <f t="shared" si="4"/>
        <v>2682.5389416911803</v>
      </c>
      <c r="G15" s="901">
        <v>608.04000000000008</v>
      </c>
      <c r="H15" s="902">
        <f t="shared" si="2"/>
        <v>3290.5789416911803</v>
      </c>
      <c r="I15" s="901">
        <f>'[9]21-22 Initial_Type1,1B,2,3,3B,4'!D16</f>
        <v>468.4199679016063</v>
      </c>
      <c r="J15" s="901">
        <f>'[9]21-22 Initial_Type1,1B,2,3,3B,4'!E16</f>
        <v>127.75090033680171</v>
      </c>
      <c r="K15" s="901">
        <f>'[9]21-22 Initial_Type1,1B,2,3,3B,4'!F16</f>
        <v>3193.7725084200424</v>
      </c>
      <c r="L15" s="901">
        <f>'[9]21-22 Initial_Type1,1B,2,3,3B,4'!G16</f>
        <v>1277.5090033680171</v>
      </c>
      <c r="M15" s="901">
        <f>'[9]21-22 Initial_Type1,1B,2,3,3B,4'!K16</f>
        <v>7076</v>
      </c>
      <c r="N15" s="901">
        <f>'[9]21-22 Initial_Type1,1B,2,3,3B,4'!N16</f>
        <v>7932</v>
      </c>
      <c r="O15" s="902">
        <f t="shared" si="3"/>
        <v>10614.53894169118</v>
      </c>
      <c r="P15" s="901">
        <f>'2_State Distrib and Adjs'!AL16</f>
        <v>4266</v>
      </c>
      <c r="Q15" s="901">
        <f>'3_Levels 1&amp;2'!AM16</f>
        <v>3653.6176133402814</v>
      </c>
      <c r="R15" s="901">
        <f>'3_Levels 1&amp;2'!AU16</f>
        <v>4733.78</v>
      </c>
      <c r="S15" s="901">
        <f t="shared" si="5"/>
        <v>8995.4376133402802</v>
      </c>
    </row>
    <row r="16" spans="1:19" ht="16.149999999999999" customHeight="1" x14ac:dyDescent="0.2">
      <c r="A16" s="891">
        <v>11</v>
      </c>
      <c r="B16" s="892" t="s">
        <v>141</v>
      </c>
      <c r="C16" s="893">
        <f>'[9]21-22 Initial_Type1,1B,2,3,3B,4'!C17</f>
        <v>3293.3802516933861</v>
      </c>
      <c r="D16" s="893">
        <f>'[9]21-22 Initial_Type1,1B,2,3,3B,4'!H17</f>
        <v>1559</v>
      </c>
      <c r="E16" s="893">
        <f>'[9]21-22 Initial_Type1,1B,2,3,3B,4'!J17</f>
        <v>171.35695187165774</v>
      </c>
      <c r="F16" s="894">
        <f t="shared" si="4"/>
        <v>5023.7372035650442</v>
      </c>
      <c r="G16" s="893">
        <v>706.55</v>
      </c>
      <c r="H16" s="894">
        <f t="shared" si="2"/>
        <v>5730.2872035650444</v>
      </c>
      <c r="I16" s="893">
        <f>'[9]21-22 Initial_Type1,1B,2,3,3B,4'!D17</f>
        <v>724.543655372545</v>
      </c>
      <c r="J16" s="893">
        <f>'[9]21-22 Initial_Type1,1B,2,3,3B,4'!E17</f>
        <v>197.6028151016032</v>
      </c>
      <c r="K16" s="893">
        <f>'[9]21-22 Initial_Type1,1B,2,3,3B,4'!F17</f>
        <v>4940.0703775400798</v>
      </c>
      <c r="L16" s="893">
        <f>'[9]21-22 Initial_Type1,1B,2,3,3B,4'!G17</f>
        <v>1976.0281510160319</v>
      </c>
      <c r="M16" s="893">
        <f>'[9]21-22 Initial_Type1,1B,2,3,3B,4'!K17</f>
        <v>3147</v>
      </c>
      <c r="N16" s="893">
        <f>'[9]21-22 Initial_Type1,1B,2,3,3B,4'!N17</f>
        <v>3718</v>
      </c>
      <c r="O16" s="894">
        <f t="shared" si="3"/>
        <v>8741.7372035650442</v>
      </c>
      <c r="P16" s="893">
        <f>'2_State Distrib and Adjs'!AL17</f>
        <v>7883</v>
      </c>
      <c r="Q16" s="893">
        <f>'3_Levels 1&amp;2'!AM17</f>
        <v>7171.8716577540108</v>
      </c>
      <c r="R16" s="893">
        <f>'3_Levels 1&amp;2'!AU17</f>
        <v>3448.12</v>
      </c>
      <c r="S16" s="893">
        <f t="shared" si="5"/>
        <v>11326.541657754011</v>
      </c>
    </row>
    <row r="17" spans="1:19" ht="16.149999999999999" customHeight="1" x14ac:dyDescent="0.2">
      <c r="A17" s="895">
        <v>12</v>
      </c>
      <c r="B17" s="896" t="s">
        <v>142</v>
      </c>
      <c r="C17" s="897">
        <f>'[9]21-22 Initial_Type1,1B,2,3,3B,4'!C18</f>
        <v>1003.7499222871905</v>
      </c>
      <c r="D17" s="897">
        <f>'[9]21-22 Initial_Type1,1B,2,3,3B,4'!H18</f>
        <v>0</v>
      </c>
      <c r="E17" s="897">
        <f>'[9]21-22 Initial_Type1,1B,2,3,3B,4'!J18</f>
        <v>171.35720601237841</v>
      </c>
      <c r="F17" s="898">
        <f t="shared" si="4"/>
        <v>1175.107128299569</v>
      </c>
      <c r="G17" s="897">
        <v>1063.31</v>
      </c>
      <c r="H17" s="898">
        <f t="shared" si="2"/>
        <v>2238.417128299569</v>
      </c>
      <c r="I17" s="897">
        <f>'[9]21-22 Initial_Type1,1B,2,3,3B,4'!D18</f>
        <v>220.8249829031819</v>
      </c>
      <c r="J17" s="897">
        <f>'[9]21-22 Initial_Type1,1B,2,3,3B,4'!E18</f>
        <v>60.224995337231412</v>
      </c>
      <c r="K17" s="897">
        <f>'[9]21-22 Initial_Type1,1B,2,3,3B,4'!F18</f>
        <v>1505.6248834307858</v>
      </c>
      <c r="L17" s="897">
        <f>'[9]21-22 Initial_Type1,1B,2,3,3B,4'!G18</f>
        <v>602.24995337231428</v>
      </c>
      <c r="M17" s="897">
        <f>'[9]21-22 Initial_Type1,1B,2,3,3B,4'!K18</f>
        <v>12953</v>
      </c>
      <c r="N17" s="897">
        <f>'[9]21-22 Initial_Type1,1B,2,3,3B,4'!N18</f>
        <v>14102</v>
      </c>
      <c r="O17" s="898">
        <f t="shared" si="3"/>
        <v>15277.107128299569</v>
      </c>
      <c r="P17" s="897">
        <f>'2_State Distrib and Adjs'!AL18</f>
        <v>2935</v>
      </c>
      <c r="Q17" s="897">
        <f>'3_Levels 1&amp;2'!AM18</f>
        <v>1871.8116710875331</v>
      </c>
      <c r="R17" s="897">
        <f>'3_Levels 1&amp;2'!AU18</f>
        <v>7413.98</v>
      </c>
      <c r="S17" s="897">
        <f t="shared" si="5"/>
        <v>10349.101671087534</v>
      </c>
    </row>
    <row r="18" spans="1:19" ht="16.149999999999999" customHeight="1" x14ac:dyDescent="0.2">
      <c r="A18" s="895">
        <v>13</v>
      </c>
      <c r="B18" s="896" t="s">
        <v>143</v>
      </c>
      <c r="C18" s="897">
        <f>'[9]21-22 Initial_Type1,1B,2,3,3B,4'!C19</f>
        <v>3310.8691415549461</v>
      </c>
      <c r="D18" s="897">
        <f>'[9]21-22 Initial_Type1,1B,2,3,3B,4'!H19</f>
        <v>1421</v>
      </c>
      <c r="E18" s="897">
        <f>'[9]21-22 Initial_Type1,1B,2,3,3B,4'!J19</f>
        <v>171.35768903993204</v>
      </c>
      <c r="F18" s="898">
        <f t="shared" si="4"/>
        <v>4903.2268305948774</v>
      </c>
      <c r="G18" s="897">
        <v>749.43000000000006</v>
      </c>
      <c r="H18" s="898">
        <f t="shared" si="2"/>
        <v>5652.6568305948776</v>
      </c>
      <c r="I18" s="897">
        <f>'[9]21-22 Initial_Type1,1B,2,3,3B,4'!D19</f>
        <v>728.3912111420882</v>
      </c>
      <c r="J18" s="897">
        <f>'[9]21-22 Initial_Type1,1B,2,3,3B,4'!E19</f>
        <v>198.65214849329678</v>
      </c>
      <c r="K18" s="897">
        <f>'[9]21-22 Initial_Type1,1B,2,3,3B,4'!F19</f>
        <v>4966.3037123324193</v>
      </c>
      <c r="L18" s="897">
        <f>'[9]21-22 Initial_Type1,1B,2,3,3B,4'!G19</f>
        <v>1986.5214849329675</v>
      </c>
      <c r="M18" s="897">
        <f>'[9]21-22 Initial_Type1,1B,2,3,3B,4'!K19</f>
        <v>3267</v>
      </c>
      <c r="N18" s="897">
        <f>'[9]21-22 Initial_Type1,1B,2,3,3B,4'!N19</f>
        <v>3309</v>
      </c>
      <c r="O18" s="898">
        <f t="shared" si="3"/>
        <v>8212.2268305948783</v>
      </c>
      <c r="P18" s="897">
        <f>'2_State Distrib and Adjs'!AL19</f>
        <v>7711</v>
      </c>
      <c r="Q18" s="897">
        <f>'3_Levels 1&amp;2'!AM19</f>
        <v>6880.1767204757862</v>
      </c>
      <c r="R18" s="897">
        <f>'3_Levels 1&amp;2'!AU19</f>
        <v>3160.07</v>
      </c>
      <c r="S18" s="897">
        <f t="shared" si="5"/>
        <v>10789.676720475787</v>
      </c>
    </row>
    <row r="19" spans="1:19" ht="16.149999999999999" customHeight="1" x14ac:dyDescent="0.2">
      <c r="A19" s="895">
        <v>14</v>
      </c>
      <c r="B19" s="896" t="s">
        <v>144</v>
      </c>
      <c r="C19" s="897">
        <f>'[9]21-22 Initial_Type1,1B,2,3,3B,4'!C20</f>
        <v>3048.4462557066659</v>
      </c>
      <c r="D19" s="897">
        <f>'[9]21-22 Initial_Type1,1B,2,3,3B,4'!H20</f>
        <v>1404</v>
      </c>
      <c r="E19" s="897">
        <f>'[9]21-22 Initial_Type1,1B,2,3,3B,4'!J20</f>
        <v>171.3572261072261</v>
      </c>
      <c r="F19" s="898">
        <f t="shared" si="4"/>
        <v>4623.8034818138913</v>
      </c>
      <c r="G19" s="897">
        <v>809.9799999999999</v>
      </c>
      <c r="H19" s="898">
        <f t="shared" si="2"/>
        <v>5433.7834818138908</v>
      </c>
      <c r="I19" s="897">
        <f>'[9]21-22 Initial_Type1,1B,2,3,3B,4'!D20</f>
        <v>670.65817625546651</v>
      </c>
      <c r="J19" s="897">
        <f>'[9]21-22 Initial_Type1,1B,2,3,3B,4'!E20</f>
        <v>182.90677534239995</v>
      </c>
      <c r="K19" s="897">
        <f>'[9]21-22 Initial_Type1,1B,2,3,3B,4'!F20</f>
        <v>4572.669383559999</v>
      </c>
      <c r="L19" s="897">
        <f>'[9]21-22 Initial_Type1,1B,2,3,3B,4'!G20</f>
        <v>1829.0677534239996</v>
      </c>
      <c r="M19" s="897">
        <f>'[9]21-22 Initial_Type1,1B,2,3,3B,4'!K20</f>
        <v>3601</v>
      </c>
      <c r="N19" s="897">
        <f>'[9]21-22 Initial_Type1,1B,2,3,3B,4'!N20</f>
        <v>3857</v>
      </c>
      <c r="O19" s="898">
        <f t="shared" si="3"/>
        <v>8480.8034818138913</v>
      </c>
      <c r="P19" s="897">
        <f>'2_State Distrib and Adjs'!AL20</f>
        <v>7781</v>
      </c>
      <c r="Q19" s="897">
        <f>'3_Levels 1&amp;2'!AM20</f>
        <v>6925.4055944055945</v>
      </c>
      <c r="R19" s="897">
        <f>'3_Levels 1&amp;2'!AU20</f>
        <v>4092.13</v>
      </c>
      <c r="S19" s="897">
        <f t="shared" si="5"/>
        <v>11827.515594405595</v>
      </c>
    </row>
    <row r="20" spans="1:19" ht="16.149999999999999" customHeight="1" x14ac:dyDescent="0.2">
      <c r="A20" s="899">
        <v>15</v>
      </c>
      <c r="B20" s="900" t="s">
        <v>145</v>
      </c>
      <c r="C20" s="901">
        <f>'[9]21-22 Initial_Type1,1B,2,3,3B,4'!C21</f>
        <v>3246.3428967457867</v>
      </c>
      <c r="D20" s="901">
        <f>'[9]21-22 Initial_Type1,1B,2,3,3B,4'!H21</f>
        <v>1389</v>
      </c>
      <c r="E20" s="901">
        <f>'[9]21-22 Initial_Type1,1B,2,3,3B,4'!J21</f>
        <v>100</v>
      </c>
      <c r="F20" s="902">
        <f t="shared" si="4"/>
        <v>4735.3428967457867</v>
      </c>
      <c r="G20" s="901">
        <v>553.79999999999995</v>
      </c>
      <c r="H20" s="902">
        <f t="shared" si="2"/>
        <v>5289.1428967457869</v>
      </c>
      <c r="I20" s="901">
        <f>'[9]21-22 Initial_Type1,1B,2,3,3B,4'!D21</f>
        <v>714.19543728407302</v>
      </c>
      <c r="J20" s="901">
        <f>'[9]21-22 Initial_Type1,1B,2,3,3B,4'!E21</f>
        <v>194.78057380474718</v>
      </c>
      <c r="K20" s="901">
        <f>'[9]21-22 Initial_Type1,1B,2,3,3B,4'!F21</f>
        <v>4869.5143451186805</v>
      </c>
      <c r="L20" s="901">
        <f>'[9]21-22 Initial_Type1,1B,2,3,3B,4'!G21</f>
        <v>1947.8057380474718</v>
      </c>
      <c r="M20" s="901">
        <f>'[9]21-22 Initial_Type1,1B,2,3,3B,4'!K21</f>
        <v>3200</v>
      </c>
      <c r="N20" s="901">
        <f>'[9]21-22 Initial_Type1,1B,2,3,3B,4'!N21</f>
        <v>3200</v>
      </c>
      <c r="O20" s="902">
        <f t="shared" si="3"/>
        <v>7935.3428967457867</v>
      </c>
      <c r="P20" s="901">
        <f>'2_State Distrib and Adjs'!AL21</f>
        <v>7085</v>
      </c>
      <c r="Q20" s="901">
        <f>'3_Levels 1&amp;2'!AM21</f>
        <v>6473.9338747099764</v>
      </c>
      <c r="R20" s="901">
        <f>'3_Levels 1&amp;2'!AU21</f>
        <v>3250.7</v>
      </c>
      <c r="S20" s="901">
        <f t="shared" si="5"/>
        <v>10278.433874709975</v>
      </c>
    </row>
    <row r="21" spans="1:19" ht="16.149999999999999" customHeight="1" x14ac:dyDescent="0.2">
      <c r="A21" s="891">
        <v>16</v>
      </c>
      <c r="B21" s="892" t="s">
        <v>1285</v>
      </c>
      <c r="C21" s="893">
        <f>'[9]21-22 Initial_Type1,1B,2,3,3B,4'!C22</f>
        <v>1292.3630906966273</v>
      </c>
      <c r="D21" s="893">
        <f>'[9]21-22 Initial_Type1,1B,2,3,3B,4'!H22</f>
        <v>0</v>
      </c>
      <c r="E21" s="893">
        <f>'[9]21-22 Initial_Type1,1B,2,3,3B,4'!J22</f>
        <v>171.35721925133689</v>
      </c>
      <c r="F21" s="894">
        <f t="shared" si="4"/>
        <v>1463.7203099479641</v>
      </c>
      <c r="G21" s="893">
        <v>686.73</v>
      </c>
      <c r="H21" s="894">
        <f t="shared" si="2"/>
        <v>2150.4503099479643</v>
      </c>
      <c r="I21" s="893">
        <f>'[9]21-22 Initial_Type1,1B,2,3,3B,4'!D22</f>
        <v>284.31987995325807</v>
      </c>
      <c r="J21" s="893">
        <f>'[9]21-22 Initial_Type1,1B,2,3,3B,4'!E22</f>
        <v>77.541785441797629</v>
      </c>
      <c r="K21" s="893">
        <f>'[9]21-22 Initial_Type1,1B,2,3,3B,4'!F22</f>
        <v>1938.5446360449409</v>
      </c>
      <c r="L21" s="893">
        <f>'[9]21-22 Initial_Type1,1B,2,3,3B,4'!G22</f>
        <v>775.4178544179764</v>
      </c>
      <c r="M21" s="893">
        <f>'[9]21-22 Initial_Type1,1B,2,3,3B,4'!K22</f>
        <v>12998</v>
      </c>
      <c r="N21" s="893">
        <f>'[9]21-22 Initial_Type1,1B,2,3,3B,4'!N22</f>
        <v>14538</v>
      </c>
      <c r="O21" s="894">
        <f t="shared" si="3"/>
        <v>16001.720309947965</v>
      </c>
      <c r="P21" s="893">
        <f>'2_State Distrib and Adjs'!AL22</f>
        <v>2712</v>
      </c>
      <c r="Q21" s="893">
        <f>'3_Levels 1&amp;2'!AM22</f>
        <v>2025.2797860962567</v>
      </c>
      <c r="R21" s="893">
        <f>'3_Levels 1&amp;2'!AU22</f>
        <v>5863.95</v>
      </c>
      <c r="S21" s="893">
        <f t="shared" si="5"/>
        <v>8575.9597860962567</v>
      </c>
    </row>
    <row r="22" spans="1:19" ht="16.149999999999999" customHeight="1" x14ac:dyDescent="0.2">
      <c r="A22" s="895">
        <v>17</v>
      </c>
      <c r="B22" s="896" t="s">
        <v>147</v>
      </c>
      <c r="C22" s="897">
        <f>'[9]21-22 Initial_Type1,1B,2,3,3B,4'!C23</f>
        <v>2063.2140959933918</v>
      </c>
      <c r="D22" s="897">
        <f>'[9]21-22 Initial_Type1,1B,2,3,3B,4'!H23</f>
        <v>312</v>
      </c>
      <c r="E22" s="897">
        <f>'[9]21-22 Initial_Type1,1B,2,3,3B,4'!J23</f>
        <v>400.77053573405976</v>
      </c>
      <c r="F22" s="898">
        <f t="shared" si="4"/>
        <v>2775.9846317274514</v>
      </c>
      <c r="G22" s="897">
        <v>801.48</v>
      </c>
      <c r="H22" s="898">
        <f t="shared" si="2"/>
        <v>3577.4646317274514</v>
      </c>
      <c r="I22" s="897">
        <f>'[9]21-22 Initial_Type1,1B,2,3,3B,4'!D23</f>
        <v>453.90710111854622</v>
      </c>
      <c r="J22" s="897">
        <f>'[9]21-22 Initial_Type1,1B,2,3,3B,4'!E23</f>
        <v>123.79284575960352</v>
      </c>
      <c r="K22" s="897">
        <f>'[9]21-22 Initial_Type1,1B,2,3,3B,4'!F23</f>
        <v>3094.8211439900879</v>
      </c>
      <c r="L22" s="897">
        <f>'[9]21-22 Initial_Type1,1B,2,3,3B,4'!G23</f>
        <v>1237.9284575960353</v>
      </c>
      <c r="M22" s="897">
        <f>'[9]21-22 Initial_Type1,1B,2,3,3B,4'!K23</f>
        <v>6927</v>
      </c>
      <c r="N22" s="897">
        <f>'[9]21-22 Initial_Type1,1B,2,3,3B,4'!N23</f>
        <v>7879</v>
      </c>
      <c r="O22" s="898">
        <f t="shared" si="3"/>
        <v>10654.984631727451</v>
      </c>
      <c r="P22" s="897">
        <f>'2_State Distrib and Adjs'!AL23</f>
        <v>4382</v>
      </c>
      <c r="Q22" s="897">
        <f>'3_Levels 1&amp;2'!AM23</f>
        <v>3588.1668992093551</v>
      </c>
      <c r="R22" s="897">
        <f>'3_Levels 1&amp;2'!AU23</f>
        <v>4622.82</v>
      </c>
      <c r="S22" s="897">
        <f t="shared" si="5"/>
        <v>9012.4668992093539</v>
      </c>
    </row>
    <row r="23" spans="1:19" ht="16.149999999999999" customHeight="1" x14ac:dyDescent="0.2">
      <c r="A23" s="895">
        <v>18</v>
      </c>
      <c r="B23" s="896" t="s">
        <v>148</v>
      </c>
      <c r="C23" s="897">
        <f>'[9]21-22 Initial_Type1,1B,2,3,3B,4'!C24</f>
        <v>3063.8490900884699</v>
      </c>
      <c r="D23" s="897">
        <f>'[9]21-22 Initial_Type1,1B,2,3,3B,4'!H24</f>
        <v>1097</v>
      </c>
      <c r="E23" s="897">
        <f>'[9]21-22 Initial_Type1,1B,2,3,3B,4'!J24</f>
        <v>171.3574097135741</v>
      </c>
      <c r="F23" s="898">
        <f t="shared" si="4"/>
        <v>4332.2064998020442</v>
      </c>
      <c r="G23" s="897">
        <v>845.94999999999993</v>
      </c>
      <c r="H23" s="898">
        <f t="shared" si="2"/>
        <v>5178.156499802044</v>
      </c>
      <c r="I23" s="897">
        <f>'[9]21-22 Initial_Type1,1B,2,3,3B,4'!D24</f>
        <v>674.04679981946333</v>
      </c>
      <c r="J23" s="897">
        <f>'[9]21-22 Initial_Type1,1B,2,3,3B,4'!E24</f>
        <v>183.83094540530817</v>
      </c>
      <c r="K23" s="897">
        <f>'[9]21-22 Initial_Type1,1B,2,3,3B,4'!F24</f>
        <v>4595.7736351327048</v>
      </c>
      <c r="L23" s="897">
        <f>'[9]21-22 Initial_Type1,1B,2,3,3B,4'!G24</f>
        <v>0</v>
      </c>
      <c r="M23" s="897">
        <f>'[9]21-22 Initial_Type1,1B,2,3,3B,4'!K24</f>
        <v>3455</v>
      </c>
      <c r="N23" s="897">
        <f>'[9]21-22 Initial_Type1,1B,2,3,3B,4'!N24</f>
        <v>3455</v>
      </c>
      <c r="O23" s="898">
        <f t="shared" si="3"/>
        <v>7787.2064998020442</v>
      </c>
      <c r="P23" s="897">
        <f>'2_State Distrib and Adjs'!AL24</f>
        <v>7093</v>
      </c>
      <c r="Q23" s="897">
        <f>'3_Levels 1&amp;2'!AM24</f>
        <v>6247.9153175591528</v>
      </c>
      <c r="R23" s="897">
        <f>'3_Levels 1&amp;2'!AU24</f>
        <v>3396.66</v>
      </c>
      <c r="S23" s="897">
        <f t="shared" si="5"/>
        <v>10490.525317559153</v>
      </c>
    </row>
    <row r="24" spans="1:19" ht="16.149999999999999" customHeight="1" x14ac:dyDescent="0.2">
      <c r="A24" s="895">
        <v>19</v>
      </c>
      <c r="B24" s="896" t="s">
        <v>149</v>
      </c>
      <c r="C24" s="897">
        <f>'[9]21-22 Initial_Type1,1B,2,3,3B,4'!C25</f>
        <v>2476.415094339623</v>
      </c>
      <c r="D24" s="897">
        <f>'[9]21-22 Initial_Type1,1B,2,3,3B,4'!H25</f>
        <v>709</v>
      </c>
      <c r="E24" s="897">
        <f>'[9]21-22 Initial_Type1,1B,2,3,3B,4'!J25</f>
        <v>171.35701598579041</v>
      </c>
      <c r="F24" s="898">
        <f t="shared" si="4"/>
        <v>3356.7721103254135</v>
      </c>
      <c r="G24" s="897">
        <v>905.43</v>
      </c>
      <c r="H24" s="898">
        <f t="shared" si="2"/>
        <v>4262.2021103254137</v>
      </c>
      <c r="I24" s="897">
        <f>'[9]21-22 Initial_Type1,1B,2,3,3B,4'!D25</f>
        <v>544.81132075471703</v>
      </c>
      <c r="J24" s="897">
        <f>'[9]21-22 Initial_Type1,1B,2,3,3B,4'!E25</f>
        <v>148.58490566037736</v>
      </c>
      <c r="K24" s="897">
        <f>'[9]21-22 Initial_Type1,1B,2,3,3B,4'!F25</f>
        <v>3714.6226415094338</v>
      </c>
      <c r="L24" s="897">
        <f>'[9]21-22 Initial_Type1,1B,2,3,3B,4'!G25</f>
        <v>1485.8490566037735</v>
      </c>
      <c r="M24" s="897">
        <f>'[9]21-22 Initial_Type1,1B,2,3,3B,4'!K25</f>
        <v>4436</v>
      </c>
      <c r="N24" s="897">
        <f>'[9]21-22 Initial_Type1,1B,2,3,3B,4'!N25</f>
        <v>4436</v>
      </c>
      <c r="O24" s="898">
        <f t="shared" si="3"/>
        <v>7792.7721103254135</v>
      </c>
      <c r="P24" s="897">
        <f>'2_State Distrib and Adjs'!AL25</f>
        <v>5647</v>
      </c>
      <c r="Q24" s="897">
        <f>'3_Levels 1&amp;2'!AM25</f>
        <v>4738.2912966252225</v>
      </c>
      <c r="R24" s="897">
        <f>'3_Levels 1&amp;2'!AU25</f>
        <v>4477.0200000000004</v>
      </c>
      <c r="S24" s="897">
        <f t="shared" si="5"/>
        <v>10120.741296625223</v>
      </c>
    </row>
    <row r="25" spans="1:19" ht="16.149999999999999" customHeight="1" x14ac:dyDescent="0.2">
      <c r="A25" s="899">
        <v>20</v>
      </c>
      <c r="B25" s="900" t="s">
        <v>150</v>
      </c>
      <c r="C25" s="901">
        <f>'[9]21-22 Initial_Type1,1B,2,3,3B,4'!C26</f>
        <v>3244.1496809587693</v>
      </c>
      <c r="D25" s="901">
        <f>'[9]21-22 Initial_Type1,1B,2,3,3B,4'!H26</f>
        <v>1103</v>
      </c>
      <c r="E25" s="901">
        <f>'[9]21-22 Initial_Type1,1B,2,3,3B,4'!J26</f>
        <v>100</v>
      </c>
      <c r="F25" s="902">
        <f t="shared" si="4"/>
        <v>4447.1496809587697</v>
      </c>
      <c r="G25" s="901">
        <v>586.16999999999996</v>
      </c>
      <c r="H25" s="902">
        <f t="shared" si="2"/>
        <v>5033.3196809587698</v>
      </c>
      <c r="I25" s="901">
        <f>'[9]21-22 Initial_Type1,1B,2,3,3B,4'!D26</f>
        <v>713.71292981092927</v>
      </c>
      <c r="J25" s="901">
        <f>'[9]21-22 Initial_Type1,1B,2,3,3B,4'!E26</f>
        <v>194.64898085752614</v>
      </c>
      <c r="K25" s="901">
        <f>'[9]21-22 Initial_Type1,1B,2,3,3B,4'!F26</f>
        <v>4866.2245214381528</v>
      </c>
      <c r="L25" s="901">
        <f>'[9]21-22 Initial_Type1,1B,2,3,3B,4'!G26</f>
        <v>1946.4898085752611</v>
      </c>
      <c r="M25" s="901">
        <f>'[9]21-22 Initial_Type1,1B,2,3,3B,4'!K26</f>
        <v>2820</v>
      </c>
      <c r="N25" s="901">
        <f>'[9]21-22 Initial_Type1,1B,2,3,3B,4'!N26</f>
        <v>2929</v>
      </c>
      <c r="O25" s="902">
        <f t="shared" si="3"/>
        <v>7376.1496809587697</v>
      </c>
      <c r="P25" s="901">
        <f>'2_State Distrib and Adjs'!AL26</f>
        <v>6637</v>
      </c>
      <c r="Q25" s="901">
        <f>'3_Levels 1&amp;2'!AM26</f>
        <v>6055.119608553824</v>
      </c>
      <c r="R25" s="901">
        <f>'3_Levels 1&amp;2'!AU26</f>
        <v>2799.56</v>
      </c>
      <c r="S25" s="901">
        <f t="shared" si="5"/>
        <v>9440.8496085538245</v>
      </c>
    </row>
    <row r="26" spans="1:19" ht="16.149999999999999" customHeight="1" x14ac:dyDescent="0.2">
      <c r="A26" s="891">
        <v>21</v>
      </c>
      <c r="B26" s="892" t="s">
        <v>151</v>
      </c>
      <c r="C26" s="893">
        <f>'[9]21-22 Initial_Type1,1B,2,3,3B,4'!C27</f>
        <v>3230.7869087104505</v>
      </c>
      <c r="D26" s="893">
        <f>'[9]21-22 Initial_Type1,1B,2,3,3B,4'!H27</f>
        <v>1106</v>
      </c>
      <c r="E26" s="893">
        <f>'[9]21-22 Initial_Type1,1B,2,3,3B,4'!J27</f>
        <v>171.35716852317643</v>
      </c>
      <c r="F26" s="894">
        <f t="shared" si="4"/>
        <v>4508.1440772336264</v>
      </c>
      <c r="G26" s="893">
        <v>610.35</v>
      </c>
      <c r="H26" s="894">
        <f t="shared" si="2"/>
        <v>5118.4940772336267</v>
      </c>
      <c r="I26" s="893">
        <f>'[9]21-22 Initial_Type1,1B,2,3,3B,4'!D27</f>
        <v>710.77311991629904</v>
      </c>
      <c r="J26" s="893">
        <f>'[9]21-22 Initial_Type1,1B,2,3,3B,4'!E27</f>
        <v>193.84721452262701</v>
      </c>
      <c r="K26" s="893">
        <f>'[9]21-22 Initial_Type1,1B,2,3,3B,4'!F27</f>
        <v>4846.1803630656759</v>
      </c>
      <c r="L26" s="893">
        <f>'[9]21-22 Initial_Type1,1B,2,3,3B,4'!G27</f>
        <v>1938.4721452262704</v>
      </c>
      <c r="M26" s="893">
        <f>'[9]21-22 Initial_Type1,1B,2,3,3B,4'!K27</f>
        <v>2145</v>
      </c>
      <c r="N26" s="893">
        <f>'[9]21-22 Initial_Type1,1B,2,3,3B,4'!N27</f>
        <v>3130</v>
      </c>
      <c r="O26" s="894">
        <f t="shared" si="3"/>
        <v>7638.1440772336264</v>
      </c>
      <c r="P26" s="893">
        <f>'2_State Distrib and Adjs'!AL27</f>
        <v>7146</v>
      </c>
      <c r="Q26" s="893">
        <f>'3_Levels 1&amp;2'!AM27</f>
        <v>6526.426877470356</v>
      </c>
      <c r="R26" s="893">
        <f>'3_Levels 1&amp;2'!AU27</f>
        <v>2939.9</v>
      </c>
      <c r="S26" s="893">
        <f t="shared" si="5"/>
        <v>10076.676877470356</v>
      </c>
    </row>
    <row r="27" spans="1:19" ht="16.149999999999999" customHeight="1" x14ac:dyDescent="0.2">
      <c r="A27" s="895">
        <v>22</v>
      </c>
      <c r="B27" s="896" t="s">
        <v>152</v>
      </c>
      <c r="C27" s="897">
        <f>'[9]21-22 Initial_Type1,1B,2,3,3B,4'!C28</f>
        <v>3548.8093318662363</v>
      </c>
      <c r="D27" s="897">
        <f>'[9]21-22 Initial_Type1,1B,2,3,3B,4'!H28</f>
        <v>1221</v>
      </c>
      <c r="E27" s="897">
        <f>'[9]21-22 Initial_Type1,1B,2,3,3B,4'!J28</f>
        <v>171.35726918995402</v>
      </c>
      <c r="F27" s="898">
        <f t="shared" si="4"/>
        <v>4941.1666010561903</v>
      </c>
      <c r="G27" s="897">
        <v>496.36</v>
      </c>
      <c r="H27" s="898">
        <f t="shared" si="2"/>
        <v>5437.52660105619</v>
      </c>
      <c r="I27" s="897">
        <f>'[9]21-22 Initial_Type1,1B,2,3,3B,4'!D28</f>
        <v>780.73805301057189</v>
      </c>
      <c r="J27" s="897">
        <f>'[9]21-22 Initial_Type1,1B,2,3,3B,4'!E28</f>
        <v>212.92855991197416</v>
      </c>
      <c r="K27" s="897">
        <f>'[9]21-22 Initial_Type1,1B,2,3,3B,4'!F28</f>
        <v>5323.2139977993538</v>
      </c>
      <c r="L27" s="897">
        <f>'[9]21-22 Initial_Type1,1B,2,3,3B,4'!G28</f>
        <v>2129.2855991197416</v>
      </c>
      <c r="M27" s="897">
        <f>'[9]21-22 Initial_Type1,1B,2,3,3B,4'!K28</f>
        <v>1179</v>
      </c>
      <c r="N27" s="897">
        <f>'[9]21-22 Initial_Type1,1B,2,3,3B,4'!N28</f>
        <v>1902</v>
      </c>
      <c r="O27" s="898">
        <f t="shared" si="3"/>
        <v>6843.1666010561903</v>
      </c>
      <c r="P27" s="897">
        <f>'2_State Distrib and Adjs'!AL28</f>
        <v>7759</v>
      </c>
      <c r="Q27" s="897">
        <f>'3_Levels 1&amp;2'!AM28</f>
        <v>7255.206225680934</v>
      </c>
      <c r="R27" s="897">
        <f>'3_Levels 1&amp;2'!AU28</f>
        <v>2295.37</v>
      </c>
      <c r="S27" s="897">
        <f t="shared" si="5"/>
        <v>10046.936225680933</v>
      </c>
    </row>
    <row r="28" spans="1:19" ht="16.149999999999999" customHeight="1" x14ac:dyDescent="0.2">
      <c r="A28" s="895">
        <v>23</v>
      </c>
      <c r="B28" s="896" t="s">
        <v>153</v>
      </c>
      <c r="C28" s="897">
        <f>'[9]21-22 Initial_Type1,1B,2,3,3B,4'!C29</f>
        <v>2921.5804745814476</v>
      </c>
      <c r="D28" s="897">
        <f>'[9]21-22 Initial_Type1,1B,2,3,3B,4'!H29</f>
        <v>1040</v>
      </c>
      <c r="E28" s="897">
        <f>'[9]21-22 Initial_Type1,1B,2,3,3B,4'!J29</f>
        <v>171.35724055394084</v>
      </c>
      <c r="F28" s="898">
        <f t="shared" si="4"/>
        <v>4132.9377151353883</v>
      </c>
      <c r="G28" s="897">
        <v>688.58</v>
      </c>
      <c r="H28" s="898">
        <f t="shared" si="2"/>
        <v>4821.5177151353882</v>
      </c>
      <c r="I28" s="897">
        <f>'[9]21-22 Initial_Type1,1B,2,3,3B,4'!D29</f>
        <v>642.74770440791849</v>
      </c>
      <c r="J28" s="897">
        <f>'[9]21-22 Initial_Type1,1B,2,3,3B,4'!E29</f>
        <v>175.29482847488683</v>
      </c>
      <c r="K28" s="897">
        <f>'[9]21-22 Initial_Type1,1B,2,3,3B,4'!F29</f>
        <v>4382.3707118721713</v>
      </c>
      <c r="L28" s="897">
        <f>'[9]21-22 Initial_Type1,1B,2,3,3B,4'!G29</f>
        <v>1752.9482847488687</v>
      </c>
      <c r="M28" s="897">
        <f>'[9]21-22 Initial_Type1,1B,2,3,3B,4'!K29</f>
        <v>2839</v>
      </c>
      <c r="N28" s="897">
        <f>'[9]21-22 Initial_Type1,1B,2,3,3B,4'!N29</f>
        <v>4116</v>
      </c>
      <c r="O28" s="898">
        <f t="shared" si="3"/>
        <v>8248.9377151353874</v>
      </c>
      <c r="P28" s="897">
        <f>'2_State Distrib and Adjs'!AL29</f>
        <v>6089</v>
      </c>
      <c r="Q28" s="897">
        <f>'3_Levels 1&amp;2'!AM29</f>
        <v>5397.7676525901861</v>
      </c>
      <c r="R28" s="897">
        <f>'3_Levels 1&amp;2'!AU29</f>
        <v>3522.92</v>
      </c>
      <c r="S28" s="897">
        <f t="shared" si="5"/>
        <v>9609.2676525901861</v>
      </c>
    </row>
    <row r="29" spans="1:19" ht="16.149999999999999" customHeight="1" x14ac:dyDescent="0.2">
      <c r="A29" s="895">
        <v>24</v>
      </c>
      <c r="B29" s="896" t="s">
        <v>154</v>
      </c>
      <c r="C29" s="897">
        <f>'[9]21-22 Initial_Type1,1B,2,3,3B,4'!C30</f>
        <v>1003.7499843118682</v>
      </c>
      <c r="D29" s="897">
        <f>'[9]21-22 Initial_Type1,1B,2,3,3B,4'!H30</f>
        <v>0</v>
      </c>
      <c r="E29" s="897">
        <f>'[9]21-22 Initial_Type1,1B,2,3,3B,4'!J30</f>
        <v>495.68005738880919</v>
      </c>
      <c r="F29" s="898">
        <f t="shared" si="4"/>
        <v>1499.4300417006773</v>
      </c>
      <c r="G29" s="897">
        <v>854.24999999999989</v>
      </c>
      <c r="H29" s="898">
        <f t="shared" si="2"/>
        <v>2353.6800417006771</v>
      </c>
      <c r="I29" s="897">
        <f>'[9]21-22 Initial_Type1,1B,2,3,3B,4'!D30</f>
        <v>220.82499654861098</v>
      </c>
      <c r="J29" s="897">
        <f>'[9]21-22 Initial_Type1,1B,2,3,3B,4'!E30</f>
        <v>60.224999058712086</v>
      </c>
      <c r="K29" s="897">
        <f>'[9]21-22 Initial_Type1,1B,2,3,3B,4'!F30</f>
        <v>1505.6249764678021</v>
      </c>
      <c r="L29" s="897">
        <f>'[9]21-22 Initial_Type1,1B,2,3,3B,4'!G30</f>
        <v>602.24999058712092</v>
      </c>
      <c r="M29" s="897">
        <f>'[9]21-22 Initial_Type1,1B,2,3,3B,4'!K30</f>
        <v>13569</v>
      </c>
      <c r="N29" s="897">
        <f>'[9]21-22 Initial_Type1,1B,2,3,3B,4'!N30</f>
        <v>14326</v>
      </c>
      <c r="O29" s="898">
        <f t="shared" si="3"/>
        <v>15825.430041700678</v>
      </c>
      <c r="P29" s="897">
        <f>'2_State Distrib and Adjs'!AL30</f>
        <v>2844</v>
      </c>
      <c r="Q29" s="897">
        <f>'3_Levels 1&amp;2'!AM30</f>
        <v>1988.88737446198</v>
      </c>
      <c r="R29" s="897">
        <f>'3_Levels 1&amp;2'!AU30</f>
        <v>6510.38</v>
      </c>
      <c r="S29" s="897">
        <f t="shared" si="5"/>
        <v>9353.5173744619806</v>
      </c>
    </row>
    <row r="30" spans="1:19" ht="16.149999999999999" customHeight="1" x14ac:dyDescent="0.2">
      <c r="A30" s="899">
        <v>25</v>
      </c>
      <c r="B30" s="900" t="s">
        <v>155</v>
      </c>
      <c r="C30" s="901">
        <f>'[9]21-22 Initial_Type1,1B,2,3,3B,4'!C31</f>
        <v>2714.8532198079006</v>
      </c>
      <c r="D30" s="901">
        <f>'[9]21-22 Initial_Type1,1B,2,3,3B,4'!H31</f>
        <v>924</v>
      </c>
      <c r="E30" s="901">
        <f>'[9]21-22 Initial_Type1,1B,2,3,3B,4'!J31</f>
        <v>171.35704258306038</v>
      </c>
      <c r="F30" s="902">
        <f t="shared" si="4"/>
        <v>3810.2102623909609</v>
      </c>
      <c r="G30" s="901">
        <v>653.73</v>
      </c>
      <c r="H30" s="902">
        <f t="shared" si="2"/>
        <v>4463.9402623909609</v>
      </c>
      <c r="I30" s="901">
        <f>'[9]21-22 Initial_Type1,1B,2,3,3B,4'!D31</f>
        <v>597.26770835773823</v>
      </c>
      <c r="J30" s="901">
        <f>'[9]21-22 Initial_Type1,1B,2,3,3B,4'!E31</f>
        <v>162.89119318847403</v>
      </c>
      <c r="K30" s="901">
        <f>'[9]21-22 Initial_Type1,1B,2,3,3B,4'!F31</f>
        <v>4072.2798297118511</v>
      </c>
      <c r="L30" s="901">
        <f>'[9]21-22 Initial_Type1,1B,2,3,3B,4'!G31</f>
        <v>1628.9119318847402</v>
      </c>
      <c r="M30" s="901">
        <f>'[9]21-22 Initial_Type1,1B,2,3,3B,4'!K31</f>
        <v>4484</v>
      </c>
      <c r="N30" s="901">
        <f>'[9]21-22 Initial_Type1,1B,2,3,3B,4'!N31</f>
        <v>4484</v>
      </c>
      <c r="O30" s="902">
        <f t="shared" si="3"/>
        <v>8294.2102623909614</v>
      </c>
      <c r="P30" s="901">
        <f>'2_State Distrib and Adjs'!AL31</f>
        <v>5897</v>
      </c>
      <c r="Q30" s="901">
        <f>'3_Levels 1&amp;2'!AM31</f>
        <v>5244.3350491343008</v>
      </c>
      <c r="R30" s="901">
        <f>'3_Levels 1&amp;2'!AU31</f>
        <v>4072.9</v>
      </c>
      <c r="S30" s="901">
        <f t="shared" si="5"/>
        <v>9970.9650491343</v>
      </c>
    </row>
    <row r="31" spans="1:19" ht="16.149999999999999" customHeight="1" x14ac:dyDescent="0.2">
      <c r="A31" s="891">
        <v>26</v>
      </c>
      <c r="B31" s="892" t="s">
        <v>156</v>
      </c>
      <c r="C31" s="893">
        <f>'[9]21-22 Initial_Type1,1B,2,3,3B,4'!C32</f>
        <v>2228.6717183345772</v>
      </c>
      <c r="D31" s="893">
        <f>'[9]21-22 Initial_Type1,1B,2,3,3B,4'!H32</f>
        <v>461</v>
      </c>
      <c r="E31" s="893">
        <f>'[9]21-22 Initial_Type1,1B,2,3,3B,4'!J32</f>
        <v>398.92345198442956</v>
      </c>
      <c r="F31" s="894">
        <f t="shared" si="4"/>
        <v>3088.5951703190067</v>
      </c>
      <c r="G31" s="893">
        <v>836.83</v>
      </c>
      <c r="H31" s="894">
        <f t="shared" si="2"/>
        <v>3925.4251703190066</v>
      </c>
      <c r="I31" s="893">
        <f>'[9]21-22 Initial_Type1,1B,2,3,3B,4'!D32</f>
        <v>490.30777803360706</v>
      </c>
      <c r="J31" s="893">
        <f>'[9]21-22 Initial_Type1,1B,2,3,3B,4'!E32</f>
        <v>133.72030310007463</v>
      </c>
      <c r="K31" s="893">
        <f>'[9]21-22 Initial_Type1,1B,2,3,3B,4'!F32</f>
        <v>3343.0075775018659</v>
      </c>
      <c r="L31" s="893">
        <f>'[9]21-22 Initial_Type1,1B,2,3,3B,4'!G32</f>
        <v>1337.2030310007463</v>
      </c>
      <c r="M31" s="893">
        <f>'[9]21-22 Initial_Type1,1B,2,3,3B,4'!K32</f>
        <v>5888</v>
      </c>
      <c r="N31" s="893">
        <f>'[9]21-22 Initial_Type1,1B,2,3,3B,4'!N32</f>
        <v>6410</v>
      </c>
      <c r="O31" s="894">
        <f t="shared" si="3"/>
        <v>9498.5951703190076</v>
      </c>
      <c r="P31" s="893">
        <f>'2_State Distrib and Adjs'!AL32</f>
        <v>4917</v>
      </c>
      <c r="Q31" s="893">
        <f>'3_Levels 1&amp;2'!AM32</f>
        <v>4068.8182912636944</v>
      </c>
      <c r="R31" s="893">
        <f>'3_Levels 1&amp;2'!AU32</f>
        <v>4536.95</v>
      </c>
      <c r="S31" s="893">
        <f t="shared" si="5"/>
        <v>9442.5982912636937</v>
      </c>
    </row>
    <row r="32" spans="1:19" ht="16.149999999999999" customHeight="1" x14ac:dyDescent="0.2">
      <c r="A32" s="895">
        <v>27</v>
      </c>
      <c r="B32" s="896" t="s">
        <v>157</v>
      </c>
      <c r="C32" s="897">
        <f>'[9]21-22 Initial_Type1,1B,2,3,3B,4'!C33</f>
        <v>3139.3189369765087</v>
      </c>
      <c r="D32" s="897">
        <f>'[9]21-22 Initial_Type1,1B,2,3,3B,4'!H33</f>
        <v>1267</v>
      </c>
      <c r="E32" s="897">
        <f>'[9]21-22 Initial_Type1,1B,2,3,3B,4'!J33</f>
        <v>171.35726210350583</v>
      </c>
      <c r="F32" s="898">
        <f t="shared" si="4"/>
        <v>4577.6761990800142</v>
      </c>
      <c r="G32" s="897">
        <v>693.06</v>
      </c>
      <c r="H32" s="898">
        <f t="shared" si="2"/>
        <v>5270.7361990800146</v>
      </c>
      <c r="I32" s="897">
        <f>'[9]21-22 Initial_Type1,1B,2,3,3B,4'!D33</f>
        <v>690.65016613483181</v>
      </c>
      <c r="J32" s="897">
        <f>'[9]21-22 Initial_Type1,1B,2,3,3B,4'!E33</f>
        <v>188.35913621859052</v>
      </c>
      <c r="K32" s="897">
        <f>'[9]21-22 Initial_Type1,1B,2,3,3B,4'!F33</f>
        <v>4708.9784054647635</v>
      </c>
      <c r="L32" s="897">
        <f>'[9]21-22 Initial_Type1,1B,2,3,3B,4'!G33</f>
        <v>1883.5913621859049</v>
      </c>
      <c r="M32" s="897">
        <f>'[9]21-22 Initial_Type1,1B,2,3,3B,4'!K33</f>
        <v>3796</v>
      </c>
      <c r="N32" s="897">
        <f>'[9]21-22 Initial_Type1,1B,2,3,3B,4'!N33</f>
        <v>4477</v>
      </c>
      <c r="O32" s="898">
        <f t="shared" si="3"/>
        <v>9054.6761990800151</v>
      </c>
      <c r="P32" s="897">
        <f>'2_State Distrib and Adjs'!AL33</f>
        <v>6794</v>
      </c>
      <c r="Q32" s="897">
        <f>'3_Levels 1&amp;2'!AM33</f>
        <v>6099.9135596364313</v>
      </c>
      <c r="R32" s="897">
        <f>'3_Levels 1&amp;2'!AU33</f>
        <v>3327.53</v>
      </c>
      <c r="S32" s="897">
        <f t="shared" si="5"/>
        <v>10120.503559636432</v>
      </c>
    </row>
    <row r="33" spans="1:19" ht="16.149999999999999" customHeight="1" x14ac:dyDescent="0.2">
      <c r="A33" s="895">
        <v>28</v>
      </c>
      <c r="B33" s="896" t="s">
        <v>158</v>
      </c>
      <c r="C33" s="897">
        <f>'[9]21-22 Initial_Type1,1B,2,3,3B,4'!C34</f>
        <v>2318.8107725669697</v>
      </c>
      <c r="D33" s="897">
        <f>'[9]21-22 Initial_Type1,1B,2,3,3B,4'!H34</f>
        <v>500</v>
      </c>
      <c r="E33" s="897">
        <f>'[9]21-22 Initial_Type1,1B,2,3,3B,4'!J34</f>
        <v>230.84228717857036</v>
      </c>
      <c r="F33" s="898">
        <f t="shared" si="4"/>
        <v>3049.6530597455403</v>
      </c>
      <c r="G33" s="897">
        <v>694.4</v>
      </c>
      <c r="H33" s="898">
        <f t="shared" si="2"/>
        <v>3744.0530597455404</v>
      </c>
      <c r="I33" s="897">
        <f>'[9]21-22 Initial_Type1,1B,2,3,3B,4'!D34</f>
        <v>510.13836996473333</v>
      </c>
      <c r="J33" s="897">
        <f>'[9]21-22 Initial_Type1,1B,2,3,3B,4'!E34</f>
        <v>139.1286463540182</v>
      </c>
      <c r="K33" s="897">
        <f>'[9]21-22 Initial_Type1,1B,2,3,3B,4'!F34</f>
        <v>3478.2161588504541</v>
      </c>
      <c r="L33" s="897">
        <f>'[9]21-22 Initial_Type1,1B,2,3,3B,4'!G34</f>
        <v>1391.2864635401818</v>
      </c>
      <c r="M33" s="897">
        <f>'[9]21-22 Initial_Type1,1B,2,3,3B,4'!K34</f>
        <v>5458</v>
      </c>
      <c r="N33" s="897">
        <f>'[9]21-22 Initial_Type1,1B,2,3,3B,4'!N34</f>
        <v>5867</v>
      </c>
      <c r="O33" s="898">
        <f t="shared" si="3"/>
        <v>8916.6530597455403</v>
      </c>
      <c r="P33" s="897">
        <f>'2_State Distrib and Adjs'!AL34</f>
        <v>4543</v>
      </c>
      <c r="Q33" s="897">
        <f>'3_Levels 1&amp;2'!AM34</f>
        <v>3840.47206579065</v>
      </c>
      <c r="R33" s="897">
        <f>'3_Levels 1&amp;2'!AU34</f>
        <v>4104.96</v>
      </c>
      <c r="S33" s="897">
        <f t="shared" si="5"/>
        <v>8639.8320657906497</v>
      </c>
    </row>
    <row r="34" spans="1:19" ht="16.149999999999999" customHeight="1" x14ac:dyDescent="0.2">
      <c r="A34" s="895">
        <v>29</v>
      </c>
      <c r="B34" s="896" t="s">
        <v>159</v>
      </c>
      <c r="C34" s="897">
        <f>'[9]21-22 Initial_Type1,1B,2,3,3B,4'!C35</f>
        <v>2666.2156372363002</v>
      </c>
      <c r="D34" s="897">
        <f>'[9]21-22 Initial_Type1,1B,2,3,3B,4'!H35</f>
        <v>772</v>
      </c>
      <c r="E34" s="897">
        <f>'[9]21-22 Initial_Type1,1B,2,3,3B,4'!J35</f>
        <v>171.3572599615083</v>
      </c>
      <c r="F34" s="898">
        <f t="shared" si="4"/>
        <v>3609.5728971978083</v>
      </c>
      <c r="G34" s="897">
        <v>754.94999999999993</v>
      </c>
      <c r="H34" s="898">
        <f t="shared" si="2"/>
        <v>4364.5228971978086</v>
      </c>
      <c r="I34" s="897">
        <f>'[9]21-22 Initial_Type1,1B,2,3,3B,4'!D35</f>
        <v>586.56744019198607</v>
      </c>
      <c r="J34" s="897">
        <f>'[9]21-22 Initial_Type1,1B,2,3,3B,4'!E35</f>
        <v>159.972938234178</v>
      </c>
      <c r="K34" s="897">
        <f>'[9]21-22 Initial_Type1,1B,2,3,3B,4'!F35</f>
        <v>3999.32345585445</v>
      </c>
      <c r="L34" s="897">
        <f>'[9]21-22 Initial_Type1,1B,2,3,3B,4'!G35</f>
        <v>1599.7293823417804</v>
      </c>
      <c r="M34" s="897">
        <f>'[9]21-22 Initial_Type1,1B,2,3,3B,4'!K35</f>
        <v>4401</v>
      </c>
      <c r="N34" s="897">
        <f>'[9]21-22 Initial_Type1,1B,2,3,3B,4'!N35</f>
        <v>5154</v>
      </c>
      <c r="O34" s="898">
        <f t="shared" si="3"/>
        <v>8763.5728971978078</v>
      </c>
      <c r="P34" s="897">
        <f>'2_State Distrib and Adjs'!AL35</f>
        <v>5269</v>
      </c>
      <c r="Q34" s="897">
        <f>'3_Levels 1&amp;2'!AM35</f>
        <v>4514.1748520920946</v>
      </c>
      <c r="R34" s="897">
        <f>'3_Levels 1&amp;2'!AU35</f>
        <v>3634.67</v>
      </c>
      <c r="S34" s="897">
        <f t="shared" si="5"/>
        <v>8903.7948520920945</v>
      </c>
    </row>
    <row r="35" spans="1:19" ht="16.149999999999999" customHeight="1" x14ac:dyDescent="0.2">
      <c r="A35" s="899">
        <v>30</v>
      </c>
      <c r="B35" s="900" t="s">
        <v>160</v>
      </c>
      <c r="C35" s="901">
        <f>'[9]21-22 Initial_Type1,1B,2,3,3B,4'!C36</f>
        <v>3147.7989302037017</v>
      </c>
      <c r="D35" s="901">
        <f>'[9]21-22 Initial_Type1,1B,2,3,3B,4'!H36</f>
        <v>1273</v>
      </c>
      <c r="E35" s="901">
        <f>'[9]21-22 Initial_Type1,1B,2,3,3B,4'!J36</f>
        <v>171.35726004922068</v>
      </c>
      <c r="F35" s="902">
        <f t="shared" si="4"/>
        <v>4592.1561902529229</v>
      </c>
      <c r="G35" s="901">
        <v>727.17</v>
      </c>
      <c r="H35" s="902">
        <f t="shared" si="2"/>
        <v>5319.326190252923</v>
      </c>
      <c r="I35" s="901">
        <f>'[9]21-22 Initial_Type1,1B,2,3,3B,4'!D36</f>
        <v>692.51576464481434</v>
      </c>
      <c r="J35" s="901">
        <f>'[9]21-22 Initial_Type1,1B,2,3,3B,4'!E36</f>
        <v>188.8679358122221</v>
      </c>
      <c r="K35" s="901">
        <f>'[9]21-22 Initial_Type1,1B,2,3,3B,4'!F36</f>
        <v>4721.6983953055524</v>
      </c>
      <c r="L35" s="901">
        <f>'[9]21-22 Initial_Type1,1B,2,3,3B,4'!G36</f>
        <v>1888.6793581222207</v>
      </c>
      <c r="M35" s="901">
        <f>'[9]21-22 Initial_Type1,1B,2,3,3B,4'!K36</f>
        <v>3486</v>
      </c>
      <c r="N35" s="901">
        <f>'[9]21-22 Initial_Type1,1B,2,3,3B,4'!N36</f>
        <v>4682</v>
      </c>
      <c r="O35" s="902">
        <f t="shared" si="3"/>
        <v>9274.1561902529229</v>
      </c>
      <c r="P35" s="901">
        <f>'2_State Distrib and Adjs'!AL36</f>
        <v>6851</v>
      </c>
      <c r="Q35" s="901">
        <f>'3_Levels 1&amp;2'!AM36</f>
        <v>6116.0574241181293</v>
      </c>
      <c r="R35" s="901">
        <f>'3_Levels 1&amp;2'!AU36</f>
        <v>3312.84</v>
      </c>
      <c r="S35" s="901">
        <f t="shared" si="5"/>
        <v>10156.06742411813</v>
      </c>
    </row>
    <row r="36" spans="1:19" ht="16.149999999999999" customHeight="1" x14ac:dyDescent="0.2">
      <c r="A36" s="891">
        <v>31</v>
      </c>
      <c r="B36" s="892" t="s">
        <v>161</v>
      </c>
      <c r="C36" s="893">
        <f>'[9]21-22 Initial_Type1,1B,2,3,3B,4'!C37</f>
        <v>2559.1008633607908</v>
      </c>
      <c r="D36" s="893">
        <f>'[9]21-22 Initial_Type1,1B,2,3,3B,4'!H37</f>
        <v>773</v>
      </c>
      <c r="E36" s="893">
        <f>'[9]21-22 Initial_Type1,1B,2,3,3B,4'!J37</f>
        <v>171.35730706075535</v>
      </c>
      <c r="F36" s="894">
        <f t="shared" si="4"/>
        <v>3503.4581704215461</v>
      </c>
      <c r="G36" s="893">
        <v>620.83000000000004</v>
      </c>
      <c r="H36" s="894">
        <f t="shared" si="2"/>
        <v>4124.2881704215461</v>
      </c>
      <c r="I36" s="893">
        <f>'[9]21-22 Initial_Type1,1B,2,3,3B,4'!D37</f>
        <v>563.00218993937403</v>
      </c>
      <c r="J36" s="893">
        <f>'[9]21-22 Initial_Type1,1B,2,3,3B,4'!E37</f>
        <v>153.54605180164742</v>
      </c>
      <c r="K36" s="893">
        <f>'[9]21-22 Initial_Type1,1B,2,3,3B,4'!F37</f>
        <v>3838.6512950411861</v>
      </c>
      <c r="L36" s="893">
        <f>'[9]21-22 Initial_Type1,1B,2,3,3B,4'!G37</f>
        <v>1535.4605180164745</v>
      </c>
      <c r="M36" s="893">
        <f>'[9]21-22 Initial_Type1,1B,2,3,3B,4'!K37</f>
        <v>6360</v>
      </c>
      <c r="N36" s="893">
        <f>'[9]21-22 Initial_Type1,1B,2,3,3B,4'!N37</f>
        <v>7187</v>
      </c>
      <c r="O36" s="894">
        <f t="shared" si="3"/>
        <v>10690.458170421545</v>
      </c>
      <c r="P36" s="893">
        <f>'2_State Distrib and Adjs'!AL37</f>
        <v>5421</v>
      </c>
      <c r="Q36" s="893">
        <f>'3_Levels 1&amp;2'!AM37</f>
        <v>4795.0898193760258</v>
      </c>
      <c r="R36" s="893">
        <f>'3_Levels 1&amp;2'!AU37</f>
        <v>4244.8</v>
      </c>
      <c r="S36" s="893">
        <f t="shared" si="5"/>
        <v>9660.7198193760269</v>
      </c>
    </row>
    <row r="37" spans="1:19" ht="16.149999999999999" customHeight="1" x14ac:dyDescent="0.2">
      <c r="A37" s="895">
        <v>32</v>
      </c>
      <c r="B37" s="896" t="s">
        <v>162</v>
      </c>
      <c r="C37" s="897">
        <f>'[9]21-22 Initial_Type1,1B,2,3,3B,4'!C38</f>
        <v>3324.2043483686257</v>
      </c>
      <c r="D37" s="897">
        <f>'[9]21-22 Initial_Type1,1B,2,3,3B,4'!H38</f>
        <v>1326</v>
      </c>
      <c r="E37" s="897">
        <f>'[9]21-22 Initial_Type1,1B,2,3,3B,4'!J38</f>
        <v>171.3572841901067</v>
      </c>
      <c r="F37" s="898">
        <f t="shared" si="4"/>
        <v>4821.5616325587325</v>
      </c>
      <c r="G37" s="897">
        <v>559.77</v>
      </c>
      <c r="H37" s="898">
        <f t="shared" si="2"/>
        <v>5381.331632558733</v>
      </c>
      <c r="I37" s="897">
        <f>'[9]21-22 Initial_Type1,1B,2,3,3B,4'!D38</f>
        <v>731.32495664109774</v>
      </c>
      <c r="J37" s="897">
        <f>'[9]21-22 Initial_Type1,1B,2,3,3B,4'!E38</f>
        <v>199.45226090211753</v>
      </c>
      <c r="K37" s="897">
        <f>'[9]21-22 Initial_Type1,1B,2,3,3B,4'!F38</f>
        <v>4986.3065225529381</v>
      </c>
      <c r="L37" s="897">
        <f>'[9]21-22 Initial_Type1,1B,2,3,3B,4'!G38</f>
        <v>1994.5226090211752</v>
      </c>
      <c r="M37" s="897">
        <f>'[9]21-22 Initial_Type1,1B,2,3,3B,4'!K38</f>
        <v>2823</v>
      </c>
      <c r="N37" s="897">
        <f>'[9]21-22 Initial_Type1,1B,2,3,3B,4'!N38</f>
        <v>3134</v>
      </c>
      <c r="O37" s="898">
        <f t="shared" si="3"/>
        <v>7955.5616325587325</v>
      </c>
      <c r="P37" s="897">
        <f>'2_State Distrib and Adjs'!AL38</f>
        <v>6657</v>
      </c>
      <c r="Q37" s="897">
        <f>'3_Levels 1&amp;2'!AM38</f>
        <v>6097.1361784675073</v>
      </c>
      <c r="R37" s="897">
        <f>'3_Levels 1&amp;2'!AU38</f>
        <v>2840.02</v>
      </c>
      <c r="S37" s="897">
        <f t="shared" si="5"/>
        <v>9496.9261784675073</v>
      </c>
    </row>
    <row r="38" spans="1:19" ht="16.149999999999999" customHeight="1" x14ac:dyDescent="0.2">
      <c r="A38" s="895">
        <v>33</v>
      </c>
      <c r="B38" s="896" t="s">
        <v>163</v>
      </c>
      <c r="C38" s="897">
        <f>'[9]21-22 Initial_Type1,1B,2,3,3B,4'!C39</f>
        <v>2814.4896548322326</v>
      </c>
      <c r="D38" s="897">
        <f>'[9]21-22 Initial_Type1,1B,2,3,3B,4'!H39</f>
        <v>1101</v>
      </c>
      <c r="E38" s="897">
        <f>'[9]21-22 Initial_Type1,1B,2,3,3B,4'!J39</f>
        <v>171.35719612229678</v>
      </c>
      <c r="F38" s="898">
        <f t="shared" si="4"/>
        <v>4086.8468509545296</v>
      </c>
      <c r="G38" s="897">
        <v>655.31000000000006</v>
      </c>
      <c r="H38" s="898">
        <f t="shared" si="2"/>
        <v>4742.1568509545295</v>
      </c>
      <c r="I38" s="897">
        <f>'[9]21-22 Initial_Type1,1B,2,3,3B,4'!D39</f>
        <v>619.18772406309108</v>
      </c>
      <c r="J38" s="897">
        <f>'[9]21-22 Initial_Type1,1B,2,3,3B,4'!E39</f>
        <v>168.86937928993396</v>
      </c>
      <c r="K38" s="897">
        <f>'[9]21-22 Initial_Type1,1B,2,3,3B,4'!F39</f>
        <v>4221.7344822483492</v>
      </c>
      <c r="L38" s="897">
        <f>'[9]21-22 Initial_Type1,1B,2,3,3B,4'!G39</f>
        <v>1688.6937928993395</v>
      </c>
      <c r="M38" s="897">
        <f>'[9]21-22 Initial_Type1,1B,2,3,3B,4'!K39</f>
        <v>2500</v>
      </c>
      <c r="N38" s="897">
        <f>'[9]21-22 Initial_Type1,1B,2,3,3B,4'!N39</f>
        <v>4687</v>
      </c>
      <c r="O38" s="898">
        <f t="shared" si="3"/>
        <v>8773.8468509545291</v>
      </c>
      <c r="P38" s="897">
        <f>'2_State Distrib and Adjs'!AL39</f>
        <v>6672</v>
      </c>
      <c r="Q38" s="897">
        <f>'3_Levels 1&amp;2'!AM39</f>
        <v>5946.0178970917223</v>
      </c>
      <c r="R38" s="897">
        <f>'3_Levels 1&amp;2'!AU39</f>
        <v>4260.34</v>
      </c>
      <c r="S38" s="897">
        <f t="shared" si="5"/>
        <v>10861.667897091724</v>
      </c>
    </row>
    <row r="39" spans="1:19" ht="16.149999999999999" customHeight="1" x14ac:dyDescent="0.2">
      <c r="A39" s="895">
        <v>34</v>
      </c>
      <c r="B39" s="896" t="s">
        <v>164</v>
      </c>
      <c r="C39" s="897">
        <f>'[9]21-22 Initial_Type1,1B,2,3,3B,4'!C40</f>
        <v>3126.6482247784766</v>
      </c>
      <c r="D39" s="897">
        <f>'[9]21-22 Initial_Type1,1B,2,3,3B,4'!H40</f>
        <v>1351</v>
      </c>
      <c r="E39" s="897">
        <f>'[9]21-22 Initial_Type1,1B,2,3,3B,4'!J40</f>
        <v>171.35727109515261</v>
      </c>
      <c r="F39" s="898">
        <f t="shared" si="4"/>
        <v>4649.00549587363</v>
      </c>
      <c r="G39" s="897">
        <v>644.11000000000013</v>
      </c>
      <c r="H39" s="898">
        <f t="shared" si="2"/>
        <v>5293.1154958736297</v>
      </c>
      <c r="I39" s="897">
        <f>'[9]21-22 Initial_Type1,1B,2,3,3B,4'!D40</f>
        <v>687.8626094512648</v>
      </c>
      <c r="J39" s="897">
        <f>'[9]21-22 Initial_Type1,1B,2,3,3B,4'!E40</f>
        <v>187.59889348670859</v>
      </c>
      <c r="K39" s="897">
        <f>'[9]21-22 Initial_Type1,1B,2,3,3B,4'!F40</f>
        <v>4689.9723371677155</v>
      </c>
      <c r="L39" s="897">
        <f>'[9]21-22 Initial_Type1,1B,2,3,3B,4'!G40</f>
        <v>1875.9889348670863</v>
      </c>
      <c r="M39" s="897">
        <f>'[9]21-22 Initial_Type1,1B,2,3,3B,4'!K40</f>
        <v>3392</v>
      </c>
      <c r="N39" s="897">
        <f>'[9]21-22 Initial_Type1,1B,2,3,3B,4'!N40</f>
        <v>4027</v>
      </c>
      <c r="O39" s="898">
        <f t="shared" si="3"/>
        <v>8676.0054958736291</v>
      </c>
      <c r="P39" s="897">
        <f>'2_State Distrib and Adjs'!AL40</f>
        <v>7167</v>
      </c>
      <c r="Q39" s="897">
        <f>'3_Levels 1&amp;2'!AM40</f>
        <v>6517.4913225613409</v>
      </c>
      <c r="R39" s="897">
        <f>'3_Levels 1&amp;2'!AU40</f>
        <v>3600.25</v>
      </c>
      <c r="S39" s="897">
        <f t="shared" si="5"/>
        <v>10761.851322561341</v>
      </c>
    </row>
    <row r="40" spans="1:19" ht="16.149999999999999" customHeight="1" x14ac:dyDescent="0.2">
      <c r="A40" s="899">
        <v>35</v>
      </c>
      <c r="B40" s="900" t="s">
        <v>165</v>
      </c>
      <c r="C40" s="901">
        <f>'[9]21-22 Initial_Type1,1B,2,3,3B,4'!C41</f>
        <v>2729.8387431674314</v>
      </c>
      <c r="D40" s="901">
        <f>'[9]21-22 Initial_Type1,1B,2,3,3B,4'!H41</f>
        <v>900</v>
      </c>
      <c r="E40" s="901">
        <f>'[9]21-22 Initial_Type1,1B,2,3,3B,4'!J41</f>
        <v>171.35730129390018</v>
      </c>
      <c r="F40" s="902">
        <f t="shared" si="4"/>
        <v>3801.1960444613314</v>
      </c>
      <c r="G40" s="901">
        <v>537.96</v>
      </c>
      <c r="H40" s="902">
        <f t="shared" si="2"/>
        <v>4339.1560444613315</v>
      </c>
      <c r="I40" s="901">
        <f>'[9]21-22 Initial_Type1,1B,2,3,3B,4'!D41</f>
        <v>600.56452349683491</v>
      </c>
      <c r="J40" s="901">
        <f>'[9]21-22 Initial_Type1,1B,2,3,3B,4'!E41</f>
        <v>163.79032459004588</v>
      </c>
      <c r="K40" s="901">
        <f>'[9]21-22 Initial_Type1,1B,2,3,3B,4'!F41</f>
        <v>4094.7581147511473</v>
      </c>
      <c r="L40" s="901">
        <f>'[9]21-22 Initial_Type1,1B,2,3,3B,4'!G41</f>
        <v>1637.9032459004588</v>
      </c>
      <c r="M40" s="901">
        <f>'[9]21-22 Initial_Type1,1B,2,3,3B,4'!K41</f>
        <v>4597</v>
      </c>
      <c r="N40" s="901">
        <f>'[9]21-22 Initial_Type1,1B,2,3,3B,4'!N41</f>
        <v>5108</v>
      </c>
      <c r="O40" s="902">
        <f t="shared" si="3"/>
        <v>8909.1960444613323</v>
      </c>
      <c r="P40" s="901">
        <f>'2_State Distrib and Adjs'!AL41</f>
        <v>5610</v>
      </c>
      <c r="Q40" s="901">
        <f>'3_Levels 1&amp;2'!AM41</f>
        <v>5074.825693160813</v>
      </c>
      <c r="R40" s="901">
        <f>'3_Levels 1&amp;2'!AU41</f>
        <v>3886.96</v>
      </c>
      <c r="S40" s="901">
        <f t="shared" si="5"/>
        <v>9499.745693160814</v>
      </c>
    </row>
    <row r="41" spans="1:19" ht="16.149999999999999" customHeight="1" x14ac:dyDescent="0.2">
      <c r="A41" s="891">
        <v>36</v>
      </c>
      <c r="B41" s="892" t="s">
        <v>1286</v>
      </c>
      <c r="C41" s="893">
        <f>'[9]21-22 Initial_Type1,1B,2,3,3B,4'!C42</f>
        <v>2165.6648124793956</v>
      </c>
      <c r="D41" s="893">
        <f>'[9]21-22 Initial_Type1,1B,2,3,3B,4'!H42</f>
        <v>415</v>
      </c>
      <c r="E41" s="893">
        <f>'[9]21-22 Initial_Type1,1B,2,3,3B,4'!J42</f>
        <v>171.3572647702407</v>
      </c>
      <c r="F41" s="894">
        <f t="shared" si="4"/>
        <v>2752.0220772496364</v>
      </c>
      <c r="G41" s="893">
        <v>746.03</v>
      </c>
      <c r="H41" s="894">
        <f t="shared" si="2"/>
        <v>3498.0520772496366</v>
      </c>
      <c r="I41" s="893">
        <f>'[9]21-22 Initial_Type1,1B,2,3,3B,4'!D42</f>
        <v>476.44625874546705</v>
      </c>
      <c r="J41" s="893">
        <f>'[9]21-22 Initial_Type1,1B,2,3,3B,4'!E42</f>
        <v>129.93988874876374</v>
      </c>
      <c r="K41" s="893">
        <f>'[9]21-22 Initial_Type1,1B,2,3,3B,4'!F42</f>
        <v>3248.4972187190933</v>
      </c>
      <c r="L41" s="893">
        <f>'[9]21-22 Initial_Type1,1B,2,3,3B,4'!G42</f>
        <v>1299.3988874876372</v>
      </c>
      <c r="M41" s="893">
        <f>'[9]21-22 Initial_Type1,1B,2,3,3B,4'!K42</f>
        <v>5438</v>
      </c>
      <c r="N41" s="893">
        <f>'[9]21-22 Initial_Type1,1B,2,3,3B,4'!N42</f>
        <v>6071</v>
      </c>
      <c r="O41" s="894">
        <f t="shared" si="3"/>
        <v>8823.0220772496359</v>
      </c>
      <c r="P41" s="893">
        <f>'2_State Distrib and Adjs'!AL42</f>
        <v>4496</v>
      </c>
      <c r="Q41" s="893">
        <f>'3_Levels 1&amp;2'!AM42</f>
        <v>3756.0362800875273</v>
      </c>
      <c r="R41" s="893">
        <f>'3_Levels 1&amp;2'!AU42</f>
        <v>4704.5200000000004</v>
      </c>
      <c r="S41" s="893">
        <f t="shared" si="5"/>
        <v>9206.5862800875275</v>
      </c>
    </row>
    <row r="42" spans="1:19" ht="16.149999999999999" customHeight="1" x14ac:dyDescent="0.2">
      <c r="A42" s="895">
        <v>37</v>
      </c>
      <c r="B42" s="896" t="s">
        <v>167</v>
      </c>
      <c r="C42" s="897">
        <f>'[9]21-22 Initial_Type1,1B,2,3,3B,4'!C43</f>
        <v>3136.2996307007297</v>
      </c>
      <c r="D42" s="897">
        <f>'[9]21-22 Initial_Type1,1B,2,3,3B,4'!H43</f>
        <v>1200</v>
      </c>
      <c r="E42" s="897">
        <f>'[9]21-22 Initial_Type1,1B,2,3,3B,4'!J43</f>
        <v>171.35725317153887</v>
      </c>
      <c r="F42" s="898">
        <f t="shared" si="4"/>
        <v>4507.6568838722687</v>
      </c>
      <c r="G42" s="897">
        <v>653.61</v>
      </c>
      <c r="H42" s="898">
        <f t="shared" si="2"/>
        <v>5161.2668838722684</v>
      </c>
      <c r="I42" s="897">
        <f>'[9]21-22 Initial_Type1,1B,2,3,3B,4'!D43</f>
        <v>689.98591875416048</v>
      </c>
      <c r="J42" s="897">
        <f>'[9]21-22 Initial_Type1,1B,2,3,3B,4'!E43</f>
        <v>188.17797784204376</v>
      </c>
      <c r="K42" s="897">
        <f>'[9]21-22 Initial_Type1,1B,2,3,3B,4'!F43</f>
        <v>4704.449446051095</v>
      </c>
      <c r="L42" s="897">
        <f>'[9]21-22 Initial_Type1,1B,2,3,3B,4'!G43</f>
        <v>1881.7797784204377</v>
      </c>
      <c r="M42" s="897">
        <f>'[9]21-22 Initial_Type1,1B,2,3,3B,4'!K43</f>
        <v>3442</v>
      </c>
      <c r="N42" s="897">
        <f>'[9]21-22 Initial_Type1,1B,2,3,3B,4'!N43</f>
        <v>4521</v>
      </c>
      <c r="O42" s="898">
        <f t="shared" si="3"/>
        <v>9028.6568838722687</v>
      </c>
      <c r="P42" s="897">
        <f>'2_State Distrib and Adjs'!AL43</f>
        <v>6447</v>
      </c>
      <c r="Q42" s="897">
        <f>'3_Levels 1&amp;2'!AM43</f>
        <v>5794.5200772200769</v>
      </c>
      <c r="R42" s="897">
        <f>'3_Levels 1&amp;2'!AU43</f>
        <v>3164.26</v>
      </c>
      <c r="S42" s="897">
        <f t="shared" si="5"/>
        <v>9612.3900772200759</v>
      </c>
    </row>
    <row r="43" spans="1:19" ht="16.149999999999999" customHeight="1" x14ac:dyDescent="0.2">
      <c r="A43" s="895">
        <v>38</v>
      </c>
      <c r="B43" s="896" t="s">
        <v>168</v>
      </c>
      <c r="C43" s="897">
        <f>'[9]21-22 Initial_Type1,1B,2,3,3B,4'!C44</f>
        <v>1003.7499671349638</v>
      </c>
      <c r="D43" s="897">
        <f>'[9]21-22 Initial_Type1,1B,2,3,3B,4'!H44</f>
        <v>0</v>
      </c>
      <c r="E43" s="897">
        <f>'[9]21-22 Initial_Type1,1B,2,3,3B,4'!J44</f>
        <v>430.53704676826067</v>
      </c>
      <c r="F43" s="898">
        <f t="shared" si="4"/>
        <v>1434.2870139032243</v>
      </c>
      <c r="G43" s="897">
        <v>829.92000000000007</v>
      </c>
      <c r="H43" s="898">
        <f t="shared" si="2"/>
        <v>2264.2070139032244</v>
      </c>
      <c r="I43" s="897">
        <f>'[9]21-22 Initial_Type1,1B,2,3,3B,4'!D44</f>
        <v>220.82499276969199</v>
      </c>
      <c r="J43" s="897">
        <f>'[9]21-22 Initial_Type1,1B,2,3,3B,4'!E44</f>
        <v>60.224998028097815</v>
      </c>
      <c r="K43" s="897">
        <f>'[9]21-22 Initial_Type1,1B,2,3,3B,4'!F44</f>
        <v>1505.6249507024456</v>
      </c>
      <c r="L43" s="897">
        <f>'[9]21-22 Initial_Type1,1B,2,3,3B,4'!G44</f>
        <v>602.24998028097821</v>
      </c>
      <c r="M43" s="897">
        <f>'[9]21-22 Initial_Type1,1B,2,3,3B,4'!K44</f>
        <v>10325</v>
      </c>
      <c r="N43" s="897">
        <f>'[9]21-22 Initial_Type1,1B,2,3,3B,4'!N44</f>
        <v>10325</v>
      </c>
      <c r="O43" s="898">
        <f t="shared" si="3"/>
        <v>11759.287013903224</v>
      </c>
      <c r="P43" s="897">
        <f>'2_State Distrib and Adjs'!AL44</f>
        <v>2820</v>
      </c>
      <c r="Q43" s="897">
        <f>'3_Levels 1&amp;2'!AM44</f>
        <v>1987.1061481870731</v>
      </c>
      <c r="R43" s="897">
        <f>'3_Levels 1&amp;2'!AU44</f>
        <v>6786.64</v>
      </c>
      <c r="S43" s="897">
        <f t="shared" si="5"/>
        <v>9603.6661481870724</v>
      </c>
    </row>
    <row r="44" spans="1:19" ht="16.149999999999999" customHeight="1" x14ac:dyDescent="0.2">
      <c r="A44" s="895">
        <v>39</v>
      </c>
      <c r="B44" s="896" t="s">
        <v>169</v>
      </c>
      <c r="C44" s="897">
        <f>'[9]21-22 Initial_Type1,1B,2,3,3B,4'!C45</f>
        <v>1722.1904258023917</v>
      </c>
      <c r="D44" s="897">
        <f>'[9]21-22 Initial_Type1,1B,2,3,3B,4'!H45</f>
        <v>39</v>
      </c>
      <c r="E44" s="897">
        <f>'[9]21-22 Initial_Type1,1B,2,3,3B,4'!J45</f>
        <v>297.990639625585</v>
      </c>
      <c r="F44" s="898">
        <f t="shared" si="4"/>
        <v>2059.1810654279766</v>
      </c>
      <c r="G44" s="897">
        <v>779.66</v>
      </c>
      <c r="H44" s="898">
        <f t="shared" si="2"/>
        <v>2838.8410654279764</v>
      </c>
      <c r="I44" s="897">
        <f>'[9]21-22 Initial_Type1,1B,2,3,3B,4'!D45</f>
        <v>378.88189367652615</v>
      </c>
      <c r="J44" s="897">
        <f>'[9]21-22 Initial_Type1,1B,2,3,3B,4'!E45</f>
        <v>103.33142554814349</v>
      </c>
      <c r="K44" s="897">
        <f>'[9]21-22 Initial_Type1,1B,2,3,3B,4'!F45</f>
        <v>2583.2856387035872</v>
      </c>
      <c r="L44" s="897">
        <f>'[9]21-22 Initial_Type1,1B,2,3,3B,4'!G45</f>
        <v>1033.3142554814351</v>
      </c>
      <c r="M44" s="897">
        <f>'[9]21-22 Initial_Type1,1B,2,3,3B,4'!K45</f>
        <v>8301</v>
      </c>
      <c r="N44" s="897">
        <f>'[9]21-22 Initial_Type1,1B,2,3,3B,4'!N45</f>
        <v>8301</v>
      </c>
      <c r="O44" s="898">
        <f t="shared" si="3"/>
        <v>10360.181065427976</v>
      </c>
      <c r="P44" s="897">
        <f>'2_State Distrib and Adjs'!AL45</f>
        <v>3901</v>
      </c>
      <c r="Q44" s="897">
        <f>'3_Levels 1&amp;2'!AM45</f>
        <v>3121.8888455538222</v>
      </c>
      <c r="R44" s="897">
        <f>'3_Levels 1&amp;2'!AU45</f>
        <v>5914.9</v>
      </c>
      <c r="S44" s="897">
        <f t="shared" si="5"/>
        <v>9816.4488455538212</v>
      </c>
    </row>
    <row r="45" spans="1:19" ht="16.149999999999999" customHeight="1" x14ac:dyDescent="0.2">
      <c r="A45" s="899">
        <v>40</v>
      </c>
      <c r="B45" s="900" t="s">
        <v>170</v>
      </c>
      <c r="C45" s="901">
        <f>'[9]21-22 Initial_Type1,1B,2,3,3B,4'!C46</f>
        <v>2951.844909045697</v>
      </c>
      <c r="D45" s="901">
        <f>'[9]21-22 Initial_Type1,1B,2,3,3B,4'!H46</f>
        <v>1056</v>
      </c>
      <c r="E45" s="901">
        <f>'[9]21-22 Initial_Type1,1B,2,3,3B,4'!J46</f>
        <v>171.35726663856494</v>
      </c>
      <c r="F45" s="902">
        <f t="shared" si="4"/>
        <v>4179.2021756842623</v>
      </c>
      <c r="G45" s="901">
        <v>700.2700000000001</v>
      </c>
      <c r="H45" s="902">
        <f t="shared" si="2"/>
        <v>4879.4721756842628</v>
      </c>
      <c r="I45" s="901">
        <f>'[9]21-22 Initial_Type1,1B,2,3,3B,4'!D46</f>
        <v>649.40587999005334</v>
      </c>
      <c r="J45" s="901">
        <f>'[9]21-22 Initial_Type1,1B,2,3,3B,4'!E46</f>
        <v>177.11069454274184</v>
      </c>
      <c r="K45" s="901">
        <f>'[9]21-22 Initial_Type1,1B,2,3,3B,4'!F46</f>
        <v>4427.767363568546</v>
      </c>
      <c r="L45" s="901">
        <f>'[9]21-22 Initial_Type1,1B,2,3,3B,4'!G46</f>
        <v>1771.1069454274184</v>
      </c>
      <c r="M45" s="901">
        <f>'[9]21-22 Initial_Type1,1B,2,3,3B,4'!K46</f>
        <v>4505</v>
      </c>
      <c r="N45" s="901">
        <f>'[9]21-22 Initial_Type1,1B,2,3,3B,4'!N46</f>
        <v>4788</v>
      </c>
      <c r="O45" s="902">
        <f t="shared" si="3"/>
        <v>8967.2021756842623</v>
      </c>
      <c r="P45" s="901">
        <f>'2_State Distrib and Adjs'!AL46</f>
        <v>6117</v>
      </c>
      <c r="Q45" s="901">
        <f>'3_Levels 1&amp;2'!AM46</f>
        <v>5419.1324528125142</v>
      </c>
      <c r="R45" s="901">
        <f>'3_Levels 1&amp;2'!AU46</f>
        <v>3448.51</v>
      </c>
      <c r="S45" s="901">
        <f t="shared" si="5"/>
        <v>9567.9124528125139</v>
      </c>
    </row>
    <row r="46" spans="1:19" ht="16.149999999999999" customHeight="1" x14ac:dyDescent="0.2">
      <c r="A46" s="891">
        <v>41</v>
      </c>
      <c r="B46" s="892" t="s">
        <v>171</v>
      </c>
      <c r="C46" s="893">
        <f>'[9]21-22 Initial_Type1,1B,2,3,3B,4'!C47</f>
        <v>1524.8424406923368</v>
      </c>
      <c r="D46" s="893">
        <f>'[9]21-22 Initial_Type1,1B,2,3,3B,4'!H47</f>
        <v>0</v>
      </c>
      <c r="E46" s="893">
        <f>'[9]21-22 Initial_Type1,1B,2,3,3B,4'!J47</f>
        <v>171.35765838011227</v>
      </c>
      <c r="F46" s="894">
        <f t="shared" si="4"/>
        <v>1696.2000990724491</v>
      </c>
      <c r="G46" s="893">
        <v>886.22</v>
      </c>
      <c r="H46" s="894">
        <f t="shared" si="2"/>
        <v>2582.4200990724494</v>
      </c>
      <c r="I46" s="893">
        <f>'[9]21-22 Initial_Type1,1B,2,3,3B,4'!D47</f>
        <v>335.46533695231409</v>
      </c>
      <c r="J46" s="893">
        <f>'[9]21-22 Initial_Type1,1B,2,3,3B,4'!E47</f>
        <v>91.490546441540218</v>
      </c>
      <c r="K46" s="893">
        <f>'[9]21-22 Initial_Type1,1B,2,3,3B,4'!F47</f>
        <v>2287.2636610385052</v>
      </c>
      <c r="L46" s="893">
        <f>'[9]21-22 Initial_Type1,1B,2,3,3B,4'!G47</f>
        <v>914.90546441540209</v>
      </c>
      <c r="M46" s="893">
        <f>'[9]21-22 Initial_Type1,1B,2,3,3B,4'!K47</f>
        <v>11986</v>
      </c>
      <c r="N46" s="893">
        <f>'[9]21-22 Initial_Type1,1B,2,3,3B,4'!N47</f>
        <v>13757</v>
      </c>
      <c r="O46" s="894">
        <f t="shared" si="3"/>
        <v>15453.200099072448</v>
      </c>
      <c r="P46" s="893">
        <f>'2_State Distrib and Adjs'!AL47</f>
        <v>3491</v>
      </c>
      <c r="Q46" s="893">
        <f>'3_Levels 1&amp;2'!AM47</f>
        <v>2602.9093825180435</v>
      </c>
      <c r="R46" s="893">
        <f>'3_Levels 1&amp;2'!AU47</f>
        <v>6147.69</v>
      </c>
      <c r="S46" s="893">
        <f t="shared" si="5"/>
        <v>9636.8193825180424</v>
      </c>
    </row>
    <row r="47" spans="1:19" ht="16.149999999999999" customHeight="1" x14ac:dyDescent="0.2">
      <c r="A47" s="895">
        <v>42</v>
      </c>
      <c r="B47" s="896" t="s">
        <v>172</v>
      </c>
      <c r="C47" s="897">
        <f>'[9]21-22 Initial_Type1,1B,2,3,3B,4'!C48</f>
        <v>2717.6664514746508</v>
      </c>
      <c r="D47" s="897">
        <f>'[9]21-22 Initial_Type1,1B,2,3,3B,4'!H48</f>
        <v>949</v>
      </c>
      <c r="E47" s="897">
        <f>'[9]21-22 Initial_Type1,1B,2,3,3B,4'!J48</f>
        <v>171.35732838589982</v>
      </c>
      <c r="F47" s="898">
        <f t="shared" si="4"/>
        <v>3838.0237798605508</v>
      </c>
      <c r="G47" s="897">
        <v>534.28</v>
      </c>
      <c r="H47" s="898">
        <f t="shared" si="2"/>
        <v>4372.303779860551</v>
      </c>
      <c r="I47" s="897">
        <f>'[9]21-22 Initial_Type1,1B,2,3,3B,4'!D48</f>
        <v>597.88661932442312</v>
      </c>
      <c r="J47" s="897">
        <f>'[9]21-22 Initial_Type1,1B,2,3,3B,4'!E48</f>
        <v>163.05998708847903</v>
      </c>
      <c r="K47" s="897">
        <f>'[9]21-22 Initial_Type1,1B,2,3,3B,4'!F48</f>
        <v>4076.4996772119757</v>
      </c>
      <c r="L47" s="897">
        <f>'[9]21-22 Initial_Type1,1B,2,3,3B,4'!G48</f>
        <v>1630.5998708847901</v>
      </c>
      <c r="M47" s="897">
        <f>'[9]21-22 Initial_Type1,1B,2,3,3B,4'!K48</f>
        <v>4070</v>
      </c>
      <c r="N47" s="897">
        <f>'[9]21-22 Initial_Type1,1B,2,3,3B,4'!N48</f>
        <v>5102</v>
      </c>
      <c r="O47" s="898">
        <f t="shared" si="3"/>
        <v>8940.0237798605503</v>
      </c>
      <c r="P47" s="897">
        <f>'2_State Distrib and Adjs'!AL48</f>
        <v>5911</v>
      </c>
      <c r="Q47" s="897">
        <f>'3_Levels 1&amp;2'!AM48</f>
        <v>5375.0070500927641</v>
      </c>
      <c r="R47" s="897">
        <f>'3_Levels 1&amp;2'!AU48</f>
        <v>4167.8100000000004</v>
      </c>
      <c r="S47" s="897">
        <f t="shared" si="5"/>
        <v>10077.097050092765</v>
      </c>
    </row>
    <row r="48" spans="1:19" ht="16.149999999999999" customHeight="1" x14ac:dyDescent="0.2">
      <c r="A48" s="895">
        <v>43</v>
      </c>
      <c r="B48" s="896" t="s">
        <v>173</v>
      </c>
      <c r="C48" s="897">
        <f>'[9]21-22 Initial_Type1,1B,2,3,3B,4'!C49</f>
        <v>2903.625066357969</v>
      </c>
      <c r="D48" s="897">
        <f>'[9]21-22 Initial_Type1,1B,2,3,3B,4'!H49</f>
        <v>1084</v>
      </c>
      <c r="E48" s="897">
        <f>'[9]21-22 Initial_Type1,1B,2,3,3B,4'!J49</f>
        <v>171.35728796343321</v>
      </c>
      <c r="F48" s="898">
        <f t="shared" si="4"/>
        <v>4158.9823543214025</v>
      </c>
      <c r="G48" s="897">
        <v>574.6099999999999</v>
      </c>
      <c r="H48" s="898">
        <f t="shared" si="2"/>
        <v>4733.5923543214021</v>
      </c>
      <c r="I48" s="897">
        <f>'[9]21-22 Initial_Type1,1B,2,3,3B,4'!D49</f>
        <v>638.7975145987532</v>
      </c>
      <c r="J48" s="897">
        <f>'[9]21-22 Initial_Type1,1B,2,3,3B,4'!E49</f>
        <v>174.2175039814781</v>
      </c>
      <c r="K48" s="897">
        <f>'[9]21-22 Initial_Type1,1B,2,3,3B,4'!F49</f>
        <v>4355.4375995369537</v>
      </c>
      <c r="L48" s="897">
        <f>'[9]21-22 Initial_Type1,1B,2,3,3B,4'!G49</f>
        <v>1742.175039814781</v>
      </c>
      <c r="M48" s="897">
        <f>'[9]21-22 Initial_Type1,1B,2,3,3B,4'!K49</f>
        <v>3669</v>
      </c>
      <c r="N48" s="897">
        <f>'[9]21-22 Initial_Type1,1B,2,3,3B,4'!N49</f>
        <v>4537</v>
      </c>
      <c r="O48" s="898">
        <f t="shared" si="3"/>
        <v>8695.9823543214025</v>
      </c>
      <c r="P48" s="897">
        <f>'2_State Distrib and Adjs'!AL49</f>
        <v>6230</v>
      </c>
      <c r="Q48" s="897">
        <f>'3_Levels 1&amp;2'!AM49</f>
        <v>5655.3199593702384</v>
      </c>
      <c r="R48" s="897">
        <f>'3_Levels 1&amp;2'!AU49</f>
        <v>3752.87</v>
      </c>
      <c r="S48" s="897">
        <f t="shared" si="5"/>
        <v>9982.799959370237</v>
      </c>
    </row>
    <row r="49" spans="1:19" ht="16.149999999999999" customHeight="1" x14ac:dyDescent="0.2">
      <c r="A49" s="895">
        <v>44</v>
      </c>
      <c r="B49" s="896" t="s">
        <v>174</v>
      </c>
      <c r="C49" s="897">
        <f>'[9]21-22 Initial_Type1,1B,2,3,3B,4'!C50</f>
        <v>2965.6326020846304</v>
      </c>
      <c r="D49" s="897">
        <f>'[9]21-22 Initial_Type1,1B,2,3,3B,4'!H50</f>
        <v>1047</v>
      </c>
      <c r="E49" s="897">
        <f>'[9]21-22 Initial_Type1,1B,2,3,3B,4'!J50</f>
        <v>171.35730277887529</v>
      </c>
      <c r="F49" s="898">
        <f t="shared" si="4"/>
        <v>4183.9899048635061</v>
      </c>
      <c r="G49" s="897">
        <v>663.16000000000008</v>
      </c>
      <c r="H49" s="898">
        <f t="shared" si="2"/>
        <v>4847.149904863506</v>
      </c>
      <c r="I49" s="897">
        <f>'[9]21-22 Initial_Type1,1B,2,3,3B,4'!D50</f>
        <v>652.43917245861871</v>
      </c>
      <c r="J49" s="897">
        <f>'[9]21-22 Initial_Type1,1B,2,3,3B,4'!E50</f>
        <v>177.93795612507782</v>
      </c>
      <c r="K49" s="897">
        <f>'[9]21-22 Initial_Type1,1B,2,3,3B,4'!F50</f>
        <v>4448.4489031269459</v>
      </c>
      <c r="L49" s="897">
        <f>'[9]21-22 Initial_Type1,1B,2,3,3B,4'!G50</f>
        <v>1779.3795612507781</v>
      </c>
      <c r="M49" s="897">
        <f>'[9]21-22 Initial_Type1,1B,2,3,3B,4'!K50</f>
        <v>4176</v>
      </c>
      <c r="N49" s="897">
        <f>'[9]21-22 Initial_Type1,1B,2,3,3B,4'!N50</f>
        <v>4176</v>
      </c>
      <c r="O49" s="898">
        <f t="shared" si="3"/>
        <v>8359.9899048635052</v>
      </c>
      <c r="P49" s="897">
        <f>'2_State Distrib and Adjs'!AL50</f>
        <v>6018</v>
      </c>
      <c r="Q49" s="897">
        <f>'3_Levels 1&amp;2'!AM50</f>
        <v>5353.0366126695644</v>
      </c>
      <c r="R49" s="897">
        <f>'3_Levels 1&amp;2'!AU50</f>
        <v>3365.91</v>
      </c>
      <c r="S49" s="897">
        <f t="shared" si="5"/>
        <v>9382.1066126695641</v>
      </c>
    </row>
    <row r="50" spans="1:19" ht="16.149999999999999" customHeight="1" x14ac:dyDescent="0.2">
      <c r="A50" s="899">
        <v>45</v>
      </c>
      <c r="B50" s="900" t="s">
        <v>175</v>
      </c>
      <c r="C50" s="901">
        <f>'[9]21-22 Initial_Type1,1B,2,3,3B,4'!C51</f>
        <v>1265.4091225896384</v>
      </c>
      <c r="D50" s="901">
        <f>'[9]21-22 Initial_Type1,1B,2,3,3B,4'!H51</f>
        <v>0</v>
      </c>
      <c r="E50" s="901">
        <f>'[9]21-22 Initial_Type1,1B,2,3,3B,4'!J51</f>
        <v>408.44817627553749</v>
      </c>
      <c r="F50" s="902">
        <f t="shared" si="4"/>
        <v>1673.8572988651758</v>
      </c>
      <c r="G50" s="901">
        <v>753.96000000000015</v>
      </c>
      <c r="H50" s="902">
        <f t="shared" si="2"/>
        <v>2427.8172988651759</v>
      </c>
      <c r="I50" s="901">
        <f>'[9]21-22 Initial_Type1,1B,2,3,3B,4'!D51</f>
        <v>278.39000696972039</v>
      </c>
      <c r="J50" s="901">
        <f>'[9]21-22 Initial_Type1,1B,2,3,3B,4'!E51</f>
        <v>75.924547355378309</v>
      </c>
      <c r="K50" s="901">
        <f>'[9]21-22 Initial_Type1,1B,2,3,3B,4'!F51</f>
        <v>1898.1136838844573</v>
      </c>
      <c r="L50" s="901">
        <f>'[9]21-22 Initial_Type1,1B,2,3,3B,4'!G51</f>
        <v>759.24547355378286</v>
      </c>
      <c r="M50" s="901">
        <f>'[9]21-22 Initial_Type1,1B,2,3,3B,4'!K51</f>
        <v>13146</v>
      </c>
      <c r="N50" s="901">
        <f>'[9]21-22 Initial_Type1,1B,2,3,3B,4'!N51</f>
        <v>14822</v>
      </c>
      <c r="O50" s="902">
        <f t="shared" si="3"/>
        <v>16495.857298865176</v>
      </c>
      <c r="P50" s="901">
        <f>'2_State Distrib and Adjs'!AL51</f>
        <v>2910</v>
      </c>
      <c r="Q50" s="901">
        <f>'3_Levels 1&amp;2'!AM51</f>
        <v>2156.2530751952081</v>
      </c>
      <c r="R50" s="901">
        <f>'3_Levels 1&amp;2'!AU51</f>
        <v>5683.28</v>
      </c>
      <c r="S50" s="901">
        <f t="shared" si="5"/>
        <v>8593.4930751952088</v>
      </c>
    </row>
    <row r="51" spans="1:19" ht="16.149999999999999" customHeight="1" x14ac:dyDescent="0.2">
      <c r="A51" s="891">
        <v>46</v>
      </c>
      <c r="B51" s="892" t="s">
        <v>176</v>
      </c>
      <c r="C51" s="893">
        <f>'[9]21-22 Initial_Type1,1B,2,3,3B,4'!C52</f>
        <v>3388.0917719630506</v>
      </c>
      <c r="D51" s="893">
        <f>'[9]21-22 Initial_Type1,1B,2,3,3B,4'!H52</f>
        <v>1524</v>
      </c>
      <c r="E51" s="893">
        <f>'[9]21-22 Initial_Type1,1B,2,3,3B,4'!J52</f>
        <v>171.35702054794521</v>
      </c>
      <c r="F51" s="894">
        <f t="shared" si="4"/>
        <v>5083.4487925109961</v>
      </c>
      <c r="G51" s="893">
        <v>728.06</v>
      </c>
      <c r="H51" s="894">
        <f t="shared" si="2"/>
        <v>5811.5087925109965</v>
      </c>
      <c r="I51" s="893">
        <f>'[9]21-22 Initial_Type1,1B,2,3,3B,4'!D52</f>
        <v>745.38018983187123</v>
      </c>
      <c r="J51" s="893">
        <f>'[9]21-22 Initial_Type1,1B,2,3,3B,4'!E52</f>
        <v>203.28550631778302</v>
      </c>
      <c r="K51" s="893">
        <f>'[9]21-22 Initial_Type1,1B,2,3,3B,4'!F52</f>
        <v>5082.1376579445769</v>
      </c>
      <c r="L51" s="893">
        <f>'[9]21-22 Initial_Type1,1B,2,3,3B,4'!G52</f>
        <v>2032.8550631778305</v>
      </c>
      <c r="M51" s="893">
        <f>'[9]21-22 Initial_Type1,1B,2,3,3B,4'!K52</f>
        <v>2038</v>
      </c>
      <c r="N51" s="893">
        <f>'[9]21-22 Initial_Type1,1B,2,3,3B,4'!N52</f>
        <v>2795</v>
      </c>
      <c r="O51" s="894">
        <f t="shared" si="3"/>
        <v>7878.4487925109961</v>
      </c>
      <c r="P51" s="893">
        <f>'2_State Distrib and Adjs'!AL52</f>
        <v>8356</v>
      </c>
      <c r="Q51" s="893">
        <f>'3_Levels 1&amp;2'!AM52</f>
        <v>7605.7422945205481</v>
      </c>
      <c r="R51" s="893">
        <f>'3_Levels 1&amp;2'!AU52</f>
        <v>3176.47</v>
      </c>
      <c r="S51" s="893">
        <f t="shared" si="5"/>
        <v>11510.272294520548</v>
      </c>
    </row>
    <row r="52" spans="1:19" ht="16.149999999999999" customHeight="1" x14ac:dyDescent="0.2">
      <c r="A52" s="895">
        <v>47</v>
      </c>
      <c r="B52" s="896" t="s">
        <v>177</v>
      </c>
      <c r="C52" s="897">
        <f>'[9]21-22 Initial_Type1,1B,2,3,3B,4'!C53</f>
        <v>1003.7499766248004</v>
      </c>
      <c r="D52" s="897">
        <f>'[9]21-22 Initial_Type1,1B,2,3,3B,4'!H53</f>
        <v>0</v>
      </c>
      <c r="E52" s="897">
        <f>'[9]21-22 Initial_Type1,1B,2,3,3B,4'!J53</f>
        <v>415.56501041356739</v>
      </c>
      <c r="F52" s="898">
        <f t="shared" si="4"/>
        <v>1419.3149870383677</v>
      </c>
      <c r="G52" s="897">
        <v>910.76</v>
      </c>
      <c r="H52" s="898">
        <f t="shared" si="2"/>
        <v>2330.0749870383679</v>
      </c>
      <c r="I52" s="897">
        <f>'[9]21-22 Initial_Type1,1B,2,3,3B,4'!D53</f>
        <v>220.82499485745606</v>
      </c>
      <c r="J52" s="897">
        <f>'[9]21-22 Initial_Type1,1B,2,3,3B,4'!E53</f>
        <v>60.224998597488018</v>
      </c>
      <c r="K52" s="897">
        <f>'[9]21-22 Initial_Type1,1B,2,3,3B,4'!F53</f>
        <v>1505.6249649372005</v>
      </c>
      <c r="L52" s="897">
        <f>'[9]21-22 Initial_Type1,1B,2,3,3B,4'!G53</f>
        <v>602.24998597488013</v>
      </c>
      <c r="M52" s="897">
        <f>'[9]21-22 Initial_Type1,1B,2,3,3B,4'!K53</f>
        <v>13510</v>
      </c>
      <c r="N52" s="897">
        <f>'[9]21-22 Initial_Type1,1B,2,3,3B,4'!N53</f>
        <v>15514</v>
      </c>
      <c r="O52" s="898">
        <f t="shared" si="3"/>
        <v>16933.314987038368</v>
      </c>
      <c r="P52" s="897">
        <f>'2_State Distrib and Adjs'!AL53</f>
        <v>2871</v>
      </c>
      <c r="Q52" s="897">
        <f>'3_Levels 1&amp;2'!AM53</f>
        <v>1960.0479024099971</v>
      </c>
      <c r="R52" s="897">
        <f>'3_Levels 1&amp;2'!AU53</f>
        <v>6733.95</v>
      </c>
      <c r="S52" s="897">
        <f t="shared" si="5"/>
        <v>9604.7579024099978</v>
      </c>
    </row>
    <row r="53" spans="1:19" ht="16.149999999999999" customHeight="1" x14ac:dyDescent="0.2">
      <c r="A53" s="895">
        <v>48</v>
      </c>
      <c r="B53" s="896" t="s">
        <v>1287</v>
      </c>
      <c r="C53" s="897">
        <f>'[9]21-22 Initial_Type1,1B,2,3,3B,4'!C54</f>
        <v>2224.3153242356689</v>
      </c>
      <c r="D53" s="897">
        <f>'[9]21-22 Initial_Type1,1B,2,3,3B,4'!H54</f>
        <v>478</v>
      </c>
      <c r="E53" s="897">
        <f>'[9]21-22 Initial_Type1,1B,2,3,3B,4'!J54</f>
        <v>171.35736224028906</v>
      </c>
      <c r="F53" s="898">
        <f t="shared" si="4"/>
        <v>2873.672686475958</v>
      </c>
      <c r="G53" s="897">
        <v>871.07</v>
      </c>
      <c r="H53" s="898">
        <f t="shared" si="2"/>
        <v>3744.7426864759582</v>
      </c>
      <c r="I53" s="897">
        <f>'[9]21-22 Initial_Type1,1B,2,3,3B,4'!D54</f>
        <v>489.34937133184712</v>
      </c>
      <c r="J53" s="897">
        <f>'[9]21-22 Initial_Type1,1B,2,3,3B,4'!E54</f>
        <v>133.45891945414013</v>
      </c>
      <c r="K53" s="897">
        <f>'[9]21-22 Initial_Type1,1B,2,3,3B,4'!F54</f>
        <v>3336.4729863535031</v>
      </c>
      <c r="L53" s="897">
        <f>'[9]21-22 Initial_Type1,1B,2,3,3B,4'!G54</f>
        <v>1334.5891945414012</v>
      </c>
      <c r="M53" s="897">
        <f>'[9]21-22 Initial_Type1,1B,2,3,3B,4'!K54</f>
        <v>6065</v>
      </c>
      <c r="N53" s="897">
        <f>'[9]21-22 Initial_Type1,1B,2,3,3B,4'!N54</f>
        <v>8158</v>
      </c>
      <c r="O53" s="898">
        <f t="shared" si="3"/>
        <v>11031.672686475958</v>
      </c>
      <c r="P53" s="897">
        <f>'2_State Distrib and Adjs'!AL54</f>
        <v>4868</v>
      </c>
      <c r="Q53" s="897">
        <f>'3_Levels 1&amp;2'!AM54</f>
        <v>3990.8113821138213</v>
      </c>
      <c r="R53" s="897">
        <f>'3_Levels 1&amp;2'!AU54</f>
        <v>4741.28</v>
      </c>
      <c r="S53" s="897">
        <f t="shared" si="5"/>
        <v>9603.1613821138199</v>
      </c>
    </row>
    <row r="54" spans="1:19" ht="16.149999999999999" customHeight="1" x14ac:dyDescent="0.2">
      <c r="A54" s="895">
        <v>49</v>
      </c>
      <c r="B54" s="896" t="s">
        <v>179</v>
      </c>
      <c r="C54" s="897">
        <f>'[9]21-22 Initial_Type1,1B,2,3,3B,4'!C55</f>
        <v>3005.551066355034</v>
      </c>
      <c r="D54" s="897">
        <f>'[9]21-22 Initial_Type1,1B,2,3,3B,4'!H55</f>
        <v>881</v>
      </c>
      <c r="E54" s="897">
        <f>'[9]21-22 Initial_Type1,1B,2,3,3B,4'!J55</f>
        <v>171.35727165817326</v>
      </c>
      <c r="F54" s="898">
        <f t="shared" si="4"/>
        <v>4057.9083380132074</v>
      </c>
      <c r="G54" s="897">
        <v>574.43999999999994</v>
      </c>
      <c r="H54" s="898">
        <f t="shared" si="2"/>
        <v>4632.3483380132075</v>
      </c>
      <c r="I54" s="897">
        <f>'[9]21-22 Initial_Type1,1B,2,3,3B,4'!D55</f>
        <v>661.22123459810746</v>
      </c>
      <c r="J54" s="897">
        <f>'[9]21-22 Initial_Type1,1B,2,3,3B,4'!E55</f>
        <v>180.33306398130202</v>
      </c>
      <c r="K54" s="897">
        <f>'[9]21-22 Initial_Type1,1B,2,3,3B,4'!F55</f>
        <v>4508.326599532551</v>
      </c>
      <c r="L54" s="897">
        <f>'[9]21-22 Initial_Type1,1B,2,3,3B,4'!G55</f>
        <v>1803.3306398130203</v>
      </c>
      <c r="M54" s="897">
        <f>'[9]21-22 Initial_Type1,1B,2,3,3B,4'!K55</f>
        <v>3280</v>
      </c>
      <c r="N54" s="897">
        <f>'[9]21-22 Initial_Type1,1B,2,3,3B,4'!N55</f>
        <v>3280</v>
      </c>
      <c r="O54" s="898">
        <f t="shared" si="3"/>
        <v>7337.908338013207</v>
      </c>
      <c r="P54" s="897">
        <f>'2_State Distrib and Adjs'!AL55</f>
        <v>6035</v>
      </c>
      <c r="Q54" s="897">
        <f>'3_Levels 1&amp;2'!AM55</f>
        <v>5444.1966287730302</v>
      </c>
      <c r="R54" s="897">
        <f>'3_Levels 1&amp;2'!AU55</f>
        <v>3027.5</v>
      </c>
      <c r="S54" s="897">
        <f t="shared" si="5"/>
        <v>9046.1366287730307</v>
      </c>
    </row>
    <row r="55" spans="1:19" ht="16.149999999999999" customHeight="1" x14ac:dyDescent="0.2">
      <c r="A55" s="899">
        <v>50</v>
      </c>
      <c r="B55" s="900" t="s">
        <v>180</v>
      </c>
      <c r="C55" s="901">
        <f>'[9]21-22 Initial_Type1,1B,2,3,3B,4'!C56</f>
        <v>2912.7750600565391</v>
      </c>
      <c r="D55" s="901">
        <f>'[9]21-22 Initial_Type1,1B,2,3,3B,4'!H56</f>
        <v>1007</v>
      </c>
      <c r="E55" s="901">
        <f>'[9]21-22 Initial_Type1,1B,2,3,3B,4'!J56</f>
        <v>171.35729907053033</v>
      </c>
      <c r="F55" s="902">
        <f t="shared" si="4"/>
        <v>4091.1323591270693</v>
      </c>
      <c r="G55" s="901">
        <v>634.46</v>
      </c>
      <c r="H55" s="902">
        <f t="shared" si="2"/>
        <v>4725.5923591270694</v>
      </c>
      <c r="I55" s="901">
        <f>'[9]21-22 Initial_Type1,1B,2,3,3B,4'!D56</f>
        <v>640.81051321243865</v>
      </c>
      <c r="J55" s="901">
        <f>'[9]21-22 Initial_Type1,1B,2,3,3B,4'!E56</f>
        <v>174.76650360339235</v>
      </c>
      <c r="K55" s="901">
        <f>'[9]21-22 Initial_Type1,1B,2,3,3B,4'!F56</f>
        <v>4369.1625900848085</v>
      </c>
      <c r="L55" s="901">
        <f>'[9]21-22 Initial_Type1,1B,2,3,3B,4'!G56</f>
        <v>1747.6650360339233</v>
      </c>
      <c r="M55" s="901">
        <f>'[9]21-22 Initial_Type1,1B,2,3,3B,4'!K56</f>
        <v>2870</v>
      </c>
      <c r="N55" s="901">
        <f>'[9]21-22 Initial_Type1,1B,2,3,3B,4'!N56</f>
        <v>4067</v>
      </c>
      <c r="O55" s="902">
        <f t="shared" si="3"/>
        <v>8158.1323591270693</v>
      </c>
      <c r="P55" s="901">
        <f>'2_State Distrib and Adjs'!AL56</f>
        <v>5894</v>
      </c>
      <c r="Q55" s="901">
        <f>'3_Levels 1&amp;2'!AM56</f>
        <v>5249.3564789502461</v>
      </c>
      <c r="R55" s="901">
        <f>'3_Levels 1&amp;2'!AU56</f>
        <v>3448.35</v>
      </c>
      <c r="S55" s="901">
        <f t="shared" si="5"/>
        <v>9332.1664789502465</v>
      </c>
    </row>
    <row r="56" spans="1:19" ht="16.149999999999999" customHeight="1" x14ac:dyDescent="0.2">
      <c r="A56" s="891">
        <v>51</v>
      </c>
      <c r="B56" s="892" t="s">
        <v>181</v>
      </c>
      <c r="C56" s="893">
        <f>'[9]21-22 Initial_Type1,1B,2,3,3B,4'!C57</f>
        <v>2698.1190234603205</v>
      </c>
      <c r="D56" s="893">
        <f>'[9]21-22 Initial_Type1,1B,2,3,3B,4'!H57</f>
        <v>900</v>
      </c>
      <c r="E56" s="893">
        <f>'[9]21-22 Initial_Type1,1B,2,3,3B,4'!J57</f>
        <v>171.35732747479969</v>
      </c>
      <c r="F56" s="894">
        <f t="shared" si="4"/>
        <v>3769.4763509351201</v>
      </c>
      <c r="G56" s="893">
        <v>706.66</v>
      </c>
      <c r="H56" s="894">
        <f t="shared" si="2"/>
        <v>4476.1363509351204</v>
      </c>
      <c r="I56" s="893">
        <f>'[9]21-22 Initial_Type1,1B,2,3,3B,4'!D57</f>
        <v>593.58618516127046</v>
      </c>
      <c r="J56" s="893">
        <f>'[9]21-22 Initial_Type1,1B,2,3,3B,4'!E57</f>
        <v>161.88714140761925</v>
      </c>
      <c r="K56" s="893">
        <f>'[9]21-22 Initial_Type1,1B,2,3,3B,4'!F57</f>
        <v>4047.1785351904805</v>
      </c>
      <c r="L56" s="893">
        <f>'[9]21-22 Initial_Type1,1B,2,3,3B,4'!G57</f>
        <v>1618.8714140761924</v>
      </c>
      <c r="M56" s="893">
        <f>'[9]21-22 Initial_Type1,1B,2,3,3B,4'!K57</f>
        <v>4382</v>
      </c>
      <c r="N56" s="893">
        <f>'[9]21-22 Initial_Type1,1B,2,3,3B,4'!N57</f>
        <v>4865</v>
      </c>
      <c r="O56" s="894">
        <f t="shared" si="3"/>
        <v>8634.4763509351196</v>
      </c>
      <c r="P56" s="893">
        <f>'2_State Distrib and Adjs'!AL57</f>
        <v>5861</v>
      </c>
      <c r="Q56" s="893">
        <f>'3_Levels 1&amp;2'!AM57</f>
        <v>5154.0856810545365</v>
      </c>
      <c r="R56" s="893">
        <f>'3_Levels 1&amp;2'!AU57</f>
        <v>4058.07</v>
      </c>
      <c r="S56" s="893">
        <f t="shared" si="5"/>
        <v>9918.815681054537</v>
      </c>
    </row>
    <row r="57" spans="1:19" ht="16.149999999999999" customHeight="1" x14ac:dyDescent="0.2">
      <c r="A57" s="895">
        <v>52</v>
      </c>
      <c r="B57" s="896" t="s">
        <v>182</v>
      </c>
      <c r="C57" s="897">
        <f>'[9]21-22 Initial_Type1,1B,2,3,3B,4'!C58</f>
        <v>2736.0108769694511</v>
      </c>
      <c r="D57" s="897">
        <f>'[9]21-22 Initial_Type1,1B,2,3,3B,4'!H58</f>
        <v>905</v>
      </c>
      <c r="E57" s="897">
        <f>'[9]21-22 Initial_Type1,1B,2,3,3B,4'!J58</f>
        <v>171.35728731292974</v>
      </c>
      <c r="F57" s="898">
        <f t="shared" si="4"/>
        <v>3812.3681642823808</v>
      </c>
      <c r="G57" s="897">
        <v>658.37</v>
      </c>
      <c r="H57" s="898">
        <f t="shared" si="2"/>
        <v>4470.7381642823811</v>
      </c>
      <c r="I57" s="897">
        <f>'[9]21-22 Initial_Type1,1B,2,3,3B,4'!D58</f>
        <v>601.92239293327941</v>
      </c>
      <c r="J57" s="897">
        <f>'[9]21-22 Initial_Type1,1B,2,3,3B,4'!E58</f>
        <v>164.16065261816706</v>
      </c>
      <c r="K57" s="897">
        <f>'[9]21-22 Initial_Type1,1B,2,3,3B,4'!F58</f>
        <v>4104.0163154541769</v>
      </c>
      <c r="L57" s="897">
        <f>'[9]21-22 Initial_Type1,1B,2,3,3B,4'!G58</f>
        <v>1641.6065261816707</v>
      </c>
      <c r="M57" s="897">
        <f>'[9]21-22 Initial_Type1,1B,2,3,3B,4'!K58</f>
        <v>6196</v>
      </c>
      <c r="N57" s="897">
        <f>'[9]21-22 Initial_Type1,1B,2,3,3B,4'!N58</f>
        <v>7050</v>
      </c>
      <c r="O57" s="898">
        <f t="shared" si="3"/>
        <v>10862.368164282381</v>
      </c>
      <c r="P57" s="897">
        <f>'2_State Distrib and Adjs'!AL58</f>
        <v>5750</v>
      </c>
      <c r="Q57" s="897">
        <f>'3_Levels 1&amp;2'!AM58</f>
        <v>5089.0525549413505</v>
      </c>
      <c r="R57" s="897">
        <f>'3_Levels 1&amp;2'!AU58</f>
        <v>3877.91</v>
      </c>
      <c r="S57" s="897">
        <f t="shared" si="5"/>
        <v>9625.3325549413494</v>
      </c>
    </row>
    <row r="58" spans="1:19" ht="16.149999999999999" customHeight="1" x14ac:dyDescent="0.2">
      <c r="A58" s="895">
        <v>53</v>
      </c>
      <c r="B58" s="896" t="s">
        <v>183</v>
      </c>
      <c r="C58" s="897">
        <f>'[9]21-22 Initial_Type1,1B,2,3,3B,4'!C59</f>
        <v>3082.7463262095339</v>
      </c>
      <c r="D58" s="897">
        <f>'[9]21-22 Initial_Type1,1B,2,3,3B,4'!H59</f>
        <v>934</v>
      </c>
      <c r="E58" s="897">
        <f>'[9]21-22 Initial_Type1,1B,2,3,3B,4'!J59</f>
        <v>171.3572925398156</v>
      </c>
      <c r="F58" s="898">
        <f t="shared" si="4"/>
        <v>4188.1036187493492</v>
      </c>
      <c r="G58" s="897">
        <v>689.74</v>
      </c>
      <c r="H58" s="898">
        <f t="shared" si="2"/>
        <v>4877.8436187493489</v>
      </c>
      <c r="I58" s="897">
        <f>'[9]21-22 Initial_Type1,1B,2,3,3B,4'!D59</f>
        <v>678.20419176609732</v>
      </c>
      <c r="J58" s="897">
        <f>'[9]21-22 Initial_Type1,1B,2,3,3B,4'!E59</f>
        <v>184.96477957257204</v>
      </c>
      <c r="K58" s="897">
        <f>'[9]21-22 Initial_Type1,1B,2,3,3B,4'!F59</f>
        <v>4624.1194893143011</v>
      </c>
      <c r="L58" s="897">
        <f>'[9]21-22 Initial_Type1,1B,2,3,3B,4'!G59</f>
        <v>1849.64779572572</v>
      </c>
      <c r="M58" s="897">
        <f>'[9]21-22 Initial_Type1,1B,2,3,3B,4'!K59</f>
        <v>2893</v>
      </c>
      <c r="N58" s="897">
        <f>'[9]21-22 Initial_Type1,1B,2,3,3B,4'!N59</f>
        <v>3046</v>
      </c>
      <c r="O58" s="898">
        <f t="shared" si="3"/>
        <v>7234.1036187493492</v>
      </c>
      <c r="P58" s="897">
        <f>'2_State Distrib and Adjs'!AL59</f>
        <v>6183</v>
      </c>
      <c r="Q58" s="897">
        <f>'3_Levels 1&amp;2'!AM59</f>
        <v>5490.0609807208721</v>
      </c>
      <c r="R58" s="897">
        <f>'3_Levels 1&amp;2'!AU59</f>
        <v>2881.61</v>
      </c>
      <c r="S58" s="897">
        <f t="shared" si="5"/>
        <v>9061.4109807208715</v>
      </c>
    </row>
    <row r="59" spans="1:19" ht="16.149999999999999" customHeight="1" x14ac:dyDescent="0.2">
      <c r="A59" s="895">
        <v>54</v>
      </c>
      <c r="B59" s="896" t="s">
        <v>184</v>
      </c>
      <c r="C59" s="897">
        <f>'[9]21-22 Initial_Type1,1B,2,3,3B,4'!C60</f>
        <v>2336.7521629408939</v>
      </c>
      <c r="D59" s="897">
        <f>'[9]21-22 Initial_Type1,1B,2,3,3B,4'!H60</f>
        <v>668</v>
      </c>
      <c r="E59" s="897">
        <f>'[9]21-22 Initial_Type1,1B,2,3,3B,4'!J60</f>
        <v>171.35732009925559</v>
      </c>
      <c r="F59" s="898">
        <f t="shared" si="4"/>
        <v>3176.1094830401494</v>
      </c>
      <c r="G59" s="897">
        <v>951.45</v>
      </c>
      <c r="H59" s="898">
        <f t="shared" si="2"/>
        <v>4127.5594830401496</v>
      </c>
      <c r="I59" s="897">
        <f>'[9]21-22 Initial_Type1,1B,2,3,3B,4'!D60</f>
        <v>514.0854758469967</v>
      </c>
      <c r="J59" s="897">
        <f>'[9]21-22 Initial_Type1,1B,2,3,3B,4'!E60</f>
        <v>140.20512977645362</v>
      </c>
      <c r="K59" s="897">
        <f>'[9]21-22 Initial_Type1,1B,2,3,3B,4'!F60</f>
        <v>3505.1282444113417</v>
      </c>
      <c r="L59" s="897">
        <f>'[9]21-22 Initial_Type1,1B,2,3,3B,4'!G60</f>
        <v>1402.0512977645365</v>
      </c>
      <c r="M59" s="897">
        <f>'[9]21-22 Initial_Type1,1B,2,3,3B,4'!K60</f>
        <v>7004</v>
      </c>
      <c r="N59" s="897">
        <f>'[9]21-22 Initial_Type1,1B,2,3,3B,4'!N60</f>
        <v>7004</v>
      </c>
      <c r="O59" s="898">
        <f t="shared" si="3"/>
        <v>10180.109483040149</v>
      </c>
      <c r="P59" s="897">
        <f>'2_State Distrib and Adjs'!AL60</f>
        <v>5928</v>
      </c>
      <c r="Q59" s="897">
        <f>'3_Levels 1&amp;2'!AM60</f>
        <v>4907.9429280397026</v>
      </c>
      <c r="R59" s="897">
        <f>'3_Levels 1&amp;2'!AU60</f>
        <v>5298.88</v>
      </c>
      <c r="S59" s="897">
        <f t="shared" si="5"/>
        <v>11158.272928039703</v>
      </c>
    </row>
    <row r="60" spans="1:19" ht="16.149999999999999" customHeight="1" x14ac:dyDescent="0.2">
      <c r="A60" s="899">
        <v>55</v>
      </c>
      <c r="B60" s="900" t="s">
        <v>185</v>
      </c>
      <c r="C60" s="901">
        <f>'[9]21-22 Initial_Type1,1B,2,3,3B,4'!C61</f>
        <v>2683.7757416176601</v>
      </c>
      <c r="D60" s="901">
        <f>'[9]21-22 Initial_Type1,1B,2,3,3B,4'!H61</f>
        <v>819</v>
      </c>
      <c r="E60" s="901">
        <f>'[9]21-22 Initial_Type1,1B,2,3,3B,4'!J61</f>
        <v>171.35725181524194</v>
      </c>
      <c r="F60" s="902">
        <f t="shared" si="4"/>
        <v>3674.1329934329019</v>
      </c>
      <c r="G60" s="901">
        <v>795.14</v>
      </c>
      <c r="H60" s="902">
        <f t="shared" si="2"/>
        <v>4469.2729934329018</v>
      </c>
      <c r="I60" s="901">
        <f>'[9]21-22 Initial_Type1,1B,2,3,3B,4'!D61</f>
        <v>590.4306631558851</v>
      </c>
      <c r="J60" s="901">
        <f>'[9]21-22 Initial_Type1,1B,2,3,3B,4'!E61</f>
        <v>161.02654449705958</v>
      </c>
      <c r="K60" s="901">
        <f>'[9]21-22 Initial_Type1,1B,2,3,3B,4'!F61</f>
        <v>4025.6636124264892</v>
      </c>
      <c r="L60" s="901">
        <f>'[9]21-22 Initial_Type1,1B,2,3,3B,4'!G61</f>
        <v>1610.2654449705956</v>
      </c>
      <c r="M60" s="901">
        <f>'[9]21-22 Initial_Type1,1B,2,3,3B,4'!K61</f>
        <v>4080</v>
      </c>
      <c r="N60" s="901">
        <f>'[9]21-22 Initial_Type1,1B,2,3,3B,4'!N61</f>
        <v>4080</v>
      </c>
      <c r="O60" s="902">
        <f t="shared" si="3"/>
        <v>7754.1329934329024</v>
      </c>
      <c r="P60" s="901">
        <f>'2_State Distrib and Adjs'!AL61</f>
        <v>5537</v>
      </c>
      <c r="Q60" s="901">
        <f>'3_Levels 1&amp;2'!AM61</f>
        <v>4738.7640490572949</v>
      </c>
      <c r="R60" s="901">
        <f>'3_Levels 1&amp;2'!AU61</f>
        <v>3765.79</v>
      </c>
      <c r="S60" s="901">
        <f t="shared" si="5"/>
        <v>9299.6940490572961</v>
      </c>
    </row>
    <row r="61" spans="1:19" ht="16.149999999999999" customHeight="1" x14ac:dyDescent="0.2">
      <c r="A61" s="891">
        <v>56</v>
      </c>
      <c r="B61" s="892" t="s">
        <v>186</v>
      </c>
      <c r="C61" s="893">
        <f>'[9]21-22 Initial_Type1,1B,2,3,3B,4'!C62</f>
        <v>3101.1587914925981</v>
      </c>
      <c r="D61" s="893">
        <f>'[9]21-22 Initial_Type1,1B,2,3,3B,4'!H62</f>
        <v>1264</v>
      </c>
      <c r="E61" s="893">
        <f>'[9]21-22 Initial_Type1,1B,2,3,3B,4'!J62</f>
        <v>171.35714285714286</v>
      </c>
      <c r="F61" s="894">
        <f t="shared" si="4"/>
        <v>4536.5159343497417</v>
      </c>
      <c r="G61" s="893">
        <v>614.66000000000008</v>
      </c>
      <c r="H61" s="894">
        <f t="shared" si="2"/>
        <v>5151.1759343497415</v>
      </c>
      <c r="I61" s="893">
        <f>'[9]21-22 Initial_Type1,1B,2,3,3B,4'!D62</f>
        <v>682.25493412837147</v>
      </c>
      <c r="J61" s="893">
        <f>'[9]21-22 Initial_Type1,1B,2,3,3B,4'!E62</f>
        <v>186.06952748955587</v>
      </c>
      <c r="K61" s="893">
        <f>'[9]21-22 Initial_Type1,1B,2,3,3B,4'!F62</f>
        <v>4651.738187238896</v>
      </c>
      <c r="L61" s="893">
        <f>'[9]21-22 Initial_Type1,1B,2,3,3B,4'!G62</f>
        <v>1860.6952748955587</v>
      </c>
      <c r="M61" s="893">
        <f>'[9]21-22 Initial_Type1,1B,2,3,3B,4'!K62</f>
        <v>3599</v>
      </c>
      <c r="N61" s="893">
        <f>'[9]21-22 Initial_Type1,1B,2,3,3B,4'!N62</f>
        <v>4526</v>
      </c>
      <c r="O61" s="894">
        <f t="shared" si="3"/>
        <v>9062.5159343497417</v>
      </c>
      <c r="P61" s="893">
        <f>'2_State Distrib and Adjs'!AL62</f>
        <v>7073</v>
      </c>
      <c r="Q61" s="893">
        <f>'3_Levels 1&amp;2'!AM62</f>
        <v>6154.9395078605603</v>
      </c>
      <c r="R61" s="893">
        <f>'3_Levels 1&amp;2'!AU62</f>
        <v>3468.14</v>
      </c>
      <c r="S61" s="893">
        <f t="shared" si="5"/>
        <v>10237.73950786056</v>
      </c>
    </row>
    <row r="62" spans="1:19" ht="16.149999999999999" customHeight="1" x14ac:dyDescent="0.2">
      <c r="A62" s="895">
        <v>57</v>
      </c>
      <c r="B62" s="896" t="s">
        <v>187</v>
      </c>
      <c r="C62" s="897">
        <f>'[9]21-22 Initial_Type1,1B,2,3,3B,4'!C63</f>
        <v>3166.7588950704126</v>
      </c>
      <c r="D62" s="897">
        <f>'[9]21-22 Initial_Type1,1B,2,3,3B,4'!H63</f>
        <v>930</v>
      </c>
      <c r="E62" s="897">
        <f>'[9]21-22 Initial_Type1,1B,2,3,3B,4'!J63</f>
        <v>171.35724286483577</v>
      </c>
      <c r="F62" s="898">
        <f t="shared" si="4"/>
        <v>4268.1161379352479</v>
      </c>
      <c r="G62" s="897">
        <v>764.51</v>
      </c>
      <c r="H62" s="898">
        <f t="shared" si="2"/>
        <v>5032.6261379352482</v>
      </c>
      <c r="I62" s="897">
        <f>'[9]21-22 Initial_Type1,1B,2,3,3B,4'!D63</f>
        <v>696.68695691549078</v>
      </c>
      <c r="J62" s="897">
        <f>'[9]21-22 Initial_Type1,1B,2,3,3B,4'!E63</f>
        <v>190.00553370422477</v>
      </c>
      <c r="K62" s="897">
        <f>'[9]21-22 Initial_Type1,1B,2,3,3B,4'!F63</f>
        <v>4750.1383426056191</v>
      </c>
      <c r="L62" s="897">
        <f>'[9]21-22 Initial_Type1,1B,2,3,3B,4'!G63</f>
        <v>1900.0553370422472</v>
      </c>
      <c r="M62" s="897">
        <f>'[9]21-22 Initial_Type1,1B,2,3,3B,4'!K63</f>
        <v>2826</v>
      </c>
      <c r="N62" s="897">
        <f>'[9]21-22 Initial_Type1,1B,2,3,3B,4'!N63</f>
        <v>2826</v>
      </c>
      <c r="O62" s="898">
        <f t="shared" si="3"/>
        <v>7094.1161379352479</v>
      </c>
      <c r="P62" s="897">
        <f>'2_State Distrib and Adjs'!AL63</f>
        <v>6234</v>
      </c>
      <c r="Q62" s="897">
        <f>'3_Levels 1&amp;2'!AM63</f>
        <v>5469.6770059235323</v>
      </c>
      <c r="R62" s="897">
        <f>'3_Levels 1&amp;2'!AU63</f>
        <v>2630.71</v>
      </c>
      <c r="S62" s="897">
        <f t="shared" si="5"/>
        <v>8864.8970059235326</v>
      </c>
    </row>
    <row r="63" spans="1:19" ht="16.149999999999999" customHeight="1" x14ac:dyDescent="0.2">
      <c r="A63" s="895">
        <v>58</v>
      </c>
      <c r="B63" s="896" t="s">
        <v>188</v>
      </c>
      <c r="C63" s="897">
        <f>'[9]21-22 Initial_Type1,1B,2,3,3B,4'!C64</f>
        <v>3353.9765930889989</v>
      </c>
      <c r="D63" s="897">
        <f>'[9]21-22 Initial_Type1,1B,2,3,3B,4'!H64</f>
        <v>1352</v>
      </c>
      <c r="E63" s="897">
        <f>'[9]21-22 Initial_Type1,1B,2,3,3B,4'!J64</f>
        <v>171.35724477882994</v>
      </c>
      <c r="F63" s="898">
        <f t="shared" si="4"/>
        <v>4877.3338378678291</v>
      </c>
      <c r="G63" s="897">
        <v>697.04</v>
      </c>
      <c r="H63" s="898">
        <f t="shared" si="2"/>
        <v>5574.373837867829</v>
      </c>
      <c r="I63" s="897">
        <f>'[9]21-22 Initial_Type1,1B,2,3,3B,4'!D64</f>
        <v>737.87485047957978</v>
      </c>
      <c r="J63" s="897">
        <f>'[9]21-22 Initial_Type1,1B,2,3,3B,4'!E64</f>
        <v>201.23859558533994</v>
      </c>
      <c r="K63" s="897">
        <f>'[9]21-22 Initial_Type1,1B,2,3,3B,4'!F64</f>
        <v>5030.9648896334984</v>
      </c>
      <c r="L63" s="897">
        <f>'[9]21-22 Initial_Type1,1B,2,3,3B,4'!G64</f>
        <v>2012.3859558533993</v>
      </c>
      <c r="M63" s="897">
        <f>'[9]21-22 Initial_Type1,1B,2,3,3B,4'!K64</f>
        <v>2180</v>
      </c>
      <c r="N63" s="897">
        <f>'[9]21-22 Initial_Type1,1B,2,3,3B,4'!N64</f>
        <v>2708</v>
      </c>
      <c r="O63" s="898">
        <f t="shared" si="3"/>
        <v>7585.3338378678291</v>
      </c>
      <c r="P63" s="897">
        <f>'2_State Distrib and Adjs'!AL64</f>
        <v>6902</v>
      </c>
      <c r="Q63" s="897">
        <f>'3_Levels 1&amp;2'!AM64</f>
        <v>6208.2091062394602</v>
      </c>
      <c r="R63" s="897">
        <f>'3_Levels 1&amp;2'!AU64</f>
        <v>2809.36</v>
      </c>
      <c r="S63" s="897">
        <f t="shared" si="5"/>
        <v>9714.6091062394607</v>
      </c>
    </row>
    <row r="64" spans="1:19" ht="16.149999999999999" customHeight="1" x14ac:dyDescent="0.2">
      <c r="A64" s="895">
        <v>59</v>
      </c>
      <c r="B64" s="896" t="s">
        <v>189</v>
      </c>
      <c r="C64" s="897">
        <f>'[9]21-22 Initial_Type1,1B,2,3,3B,4'!C65</f>
        <v>3577.3709556403396</v>
      </c>
      <c r="D64" s="897">
        <f>'[9]21-22 Initial_Type1,1B,2,3,3B,4'!H65</f>
        <v>826</v>
      </c>
      <c r="E64" s="897">
        <f>'[9]21-22 Initial_Type1,1B,2,3,3B,4'!J65</f>
        <v>171.35726141078837</v>
      </c>
      <c r="F64" s="898">
        <f t="shared" si="4"/>
        <v>4574.7282170511271</v>
      </c>
      <c r="G64" s="897">
        <v>689.52</v>
      </c>
      <c r="H64" s="898">
        <f t="shared" si="2"/>
        <v>5264.2482170511266</v>
      </c>
      <c r="I64" s="897">
        <f>'[9]21-22 Initial_Type1,1B,2,3,3B,4'!D65</f>
        <v>787.02161024087479</v>
      </c>
      <c r="J64" s="897">
        <f>'[9]21-22 Initial_Type1,1B,2,3,3B,4'!E65</f>
        <v>214.64225733842042</v>
      </c>
      <c r="K64" s="897">
        <f>'[9]21-22 Initial_Type1,1B,2,3,3B,4'!F65</f>
        <v>5366.0564334605097</v>
      </c>
      <c r="L64" s="897">
        <f>'[9]21-22 Initial_Type1,1B,2,3,3B,4'!G65</f>
        <v>2146.422573384204</v>
      </c>
      <c r="M64" s="897">
        <f>'[9]21-22 Initial_Type1,1B,2,3,3B,4'!K65</f>
        <v>1610</v>
      </c>
      <c r="N64" s="897">
        <f>'[9]21-22 Initial_Type1,1B,2,3,3B,4'!N65</f>
        <v>1835</v>
      </c>
      <c r="O64" s="898">
        <f t="shared" si="3"/>
        <v>6409.7282170511271</v>
      </c>
      <c r="P64" s="897">
        <f>'2_State Distrib and Adjs'!AL65</f>
        <v>7488</v>
      </c>
      <c r="Q64" s="897">
        <f>'3_Levels 1&amp;2'!AM65</f>
        <v>6797.810995850622</v>
      </c>
      <c r="R64" s="897">
        <f>'3_Levels 1&amp;2'!AU65</f>
        <v>1726.18</v>
      </c>
      <c r="S64" s="897">
        <f t="shared" si="5"/>
        <v>9213.5109958506218</v>
      </c>
    </row>
    <row r="65" spans="1:19" ht="16.149999999999999" customHeight="1" x14ac:dyDescent="0.2">
      <c r="A65" s="899">
        <v>60</v>
      </c>
      <c r="B65" s="900" t="s">
        <v>190</v>
      </c>
      <c r="C65" s="901">
        <f>'[9]21-22 Initial_Type1,1B,2,3,3B,4'!C66</f>
        <v>2966.6761447756203</v>
      </c>
      <c r="D65" s="901">
        <f>'[9]21-22 Initial_Type1,1B,2,3,3B,4'!H66</f>
        <v>1134</v>
      </c>
      <c r="E65" s="901">
        <f>'[9]21-22 Initial_Type1,1B,2,3,3B,4'!J66</f>
        <v>171.35720712614719</v>
      </c>
      <c r="F65" s="902">
        <f t="shared" si="4"/>
        <v>4272.0333519017668</v>
      </c>
      <c r="G65" s="901">
        <v>594.04</v>
      </c>
      <c r="H65" s="902">
        <f t="shared" si="2"/>
        <v>4866.0733519017667</v>
      </c>
      <c r="I65" s="901">
        <f>'[9]21-22 Initial_Type1,1B,2,3,3B,4'!D66</f>
        <v>652.66875185063645</v>
      </c>
      <c r="J65" s="901">
        <f>'[9]21-22 Initial_Type1,1B,2,3,3B,4'!E66</f>
        <v>178.00056868653721</v>
      </c>
      <c r="K65" s="901">
        <f>'[9]21-22 Initial_Type1,1B,2,3,3B,4'!F66</f>
        <v>4450.0142171634307</v>
      </c>
      <c r="L65" s="901">
        <f>'[9]21-22 Initial_Type1,1B,2,3,3B,4'!G66</f>
        <v>1780.0056868653724</v>
      </c>
      <c r="M65" s="901">
        <f>'[9]21-22 Initial_Type1,1B,2,3,3B,4'!K66</f>
        <v>3123</v>
      </c>
      <c r="N65" s="901">
        <f>'[9]21-22 Initial_Type1,1B,2,3,3B,4'!N66</f>
        <v>4326</v>
      </c>
      <c r="O65" s="902">
        <f t="shared" si="3"/>
        <v>8598.0333519017659</v>
      </c>
      <c r="P65" s="901">
        <f>'2_State Distrib and Adjs'!AL66</f>
        <v>6371</v>
      </c>
      <c r="Q65" s="901">
        <f>'3_Levels 1&amp;2'!AM66</f>
        <v>5779.3901385639738</v>
      </c>
      <c r="R65" s="901">
        <f>'3_Levels 1&amp;2'!AU66</f>
        <v>3639.57</v>
      </c>
      <c r="S65" s="901">
        <f t="shared" si="5"/>
        <v>10013.000138563973</v>
      </c>
    </row>
    <row r="66" spans="1:19" ht="16.149999999999999" customHeight="1" x14ac:dyDescent="0.2">
      <c r="A66" s="891">
        <v>61</v>
      </c>
      <c r="B66" s="892" t="s">
        <v>191</v>
      </c>
      <c r="C66" s="893">
        <f>'[9]21-22 Initial_Type1,1B,2,3,3B,4'!C67</f>
        <v>1883.4606459756735</v>
      </c>
      <c r="D66" s="893">
        <f>'[9]21-22 Initial_Type1,1B,2,3,3B,4'!H67</f>
        <v>178</v>
      </c>
      <c r="E66" s="893">
        <f>'[9]21-22 Initial_Type1,1B,2,3,3B,4'!J67</f>
        <v>171.35716122396502</v>
      </c>
      <c r="F66" s="894">
        <f t="shared" si="4"/>
        <v>2232.8178071996381</v>
      </c>
      <c r="G66" s="893">
        <v>833.70999999999992</v>
      </c>
      <c r="H66" s="894">
        <f t="shared" si="2"/>
        <v>3066.5278071996381</v>
      </c>
      <c r="I66" s="893">
        <f>'[9]21-22 Initial_Type1,1B,2,3,3B,4'!D67</f>
        <v>414.36134211464815</v>
      </c>
      <c r="J66" s="893">
        <f>'[9]21-22 Initial_Type1,1B,2,3,3B,4'!E67</f>
        <v>113.00763875854039</v>
      </c>
      <c r="K66" s="893">
        <f>'[9]21-22 Initial_Type1,1B,2,3,3B,4'!F67</f>
        <v>2825.1909689635099</v>
      </c>
      <c r="L66" s="893">
        <f>'[9]21-22 Initial_Type1,1B,2,3,3B,4'!G67</f>
        <v>1130.0763875854041</v>
      </c>
      <c r="M66" s="893">
        <f>'[9]21-22 Initial_Type1,1B,2,3,3B,4'!K67</f>
        <v>9330</v>
      </c>
      <c r="N66" s="893">
        <f>'[9]21-22 Initial_Type1,1B,2,3,3B,4'!N67</f>
        <v>11148</v>
      </c>
      <c r="O66" s="894">
        <f t="shared" si="3"/>
        <v>13380.817807199637</v>
      </c>
      <c r="P66" s="893">
        <f>'2_State Distrib and Adjs'!AL67</f>
        <v>4004</v>
      </c>
      <c r="Q66" s="893">
        <f>'3_Levels 1&amp;2'!AM67</f>
        <v>3169.3209051169965</v>
      </c>
      <c r="R66" s="893">
        <f>'3_Levels 1&amp;2'!AU67</f>
        <v>5236.1000000000004</v>
      </c>
      <c r="S66" s="893">
        <f t="shared" si="5"/>
        <v>9239.1309051169974</v>
      </c>
    </row>
    <row r="67" spans="1:19" ht="16.149999999999999" customHeight="1" x14ac:dyDescent="0.2">
      <c r="A67" s="895">
        <v>62</v>
      </c>
      <c r="B67" s="896" t="s">
        <v>192</v>
      </c>
      <c r="C67" s="897">
        <f>'[9]21-22 Initial_Type1,1B,2,3,3B,4'!C68</f>
        <v>3302.1678031095471</v>
      </c>
      <c r="D67" s="897">
        <f>'[9]21-22 Initial_Type1,1B,2,3,3B,4'!H68</f>
        <v>1063</v>
      </c>
      <c r="E67" s="897">
        <f>'[9]21-22 Initial_Type1,1B,2,3,3B,4'!J68</f>
        <v>171.35710397387044</v>
      </c>
      <c r="F67" s="898">
        <f t="shared" si="4"/>
        <v>4536.5249070834179</v>
      </c>
      <c r="G67" s="897">
        <v>516.08000000000004</v>
      </c>
      <c r="H67" s="898">
        <f t="shared" si="2"/>
        <v>5052.6049070834179</v>
      </c>
      <c r="I67" s="897">
        <f>'[9]21-22 Initial_Type1,1B,2,3,3B,4'!D68</f>
        <v>726.47691668410039</v>
      </c>
      <c r="J67" s="897">
        <f>'[9]21-22 Initial_Type1,1B,2,3,3B,4'!E68</f>
        <v>198.13006818657283</v>
      </c>
      <c r="K67" s="897">
        <f>'[9]21-22 Initial_Type1,1B,2,3,3B,4'!F68</f>
        <v>4953.2517046643206</v>
      </c>
      <c r="L67" s="897">
        <f>'[9]21-22 Initial_Type1,1B,2,3,3B,4'!G68</f>
        <v>1981.3006818657282</v>
      </c>
      <c r="M67" s="897">
        <f>'[9]21-22 Initial_Type1,1B,2,3,3B,4'!K68</f>
        <v>2672</v>
      </c>
      <c r="N67" s="897">
        <f>'[9]21-22 Initial_Type1,1B,2,3,3B,4'!N68</f>
        <v>2672</v>
      </c>
      <c r="O67" s="898">
        <f t="shared" si="3"/>
        <v>7208.5249070834179</v>
      </c>
      <c r="P67" s="897">
        <f>'2_State Distrib and Adjs'!AL68</f>
        <v>6890</v>
      </c>
      <c r="Q67" s="897">
        <f>'3_Levels 1&amp;2'!AM68</f>
        <v>6368.0315732172021</v>
      </c>
      <c r="R67" s="897">
        <f>'3_Levels 1&amp;2'!AU68</f>
        <v>2638.03</v>
      </c>
      <c r="S67" s="897">
        <f t="shared" si="5"/>
        <v>9522.1415732172027</v>
      </c>
    </row>
    <row r="68" spans="1:19" ht="16.149999999999999" customHeight="1" x14ac:dyDescent="0.2">
      <c r="A68" s="895">
        <v>63</v>
      </c>
      <c r="B68" s="896" t="s">
        <v>193</v>
      </c>
      <c r="C68" s="897">
        <f>'[9]21-22 Initial_Type1,1B,2,3,3B,4'!C69</f>
        <v>1756.2793870721682</v>
      </c>
      <c r="D68" s="897">
        <f>'[9]21-22 Initial_Type1,1B,2,3,3B,4'!H69</f>
        <v>69</v>
      </c>
      <c r="E68" s="897">
        <f>'[9]21-22 Initial_Type1,1B,2,3,3B,4'!J69</f>
        <v>428.73658772353792</v>
      </c>
      <c r="F68" s="898">
        <f t="shared" si="4"/>
        <v>2254.0159747957059</v>
      </c>
      <c r="G68" s="897">
        <v>756.79</v>
      </c>
      <c r="H68" s="898">
        <f t="shared" si="2"/>
        <v>3010.8059747957059</v>
      </c>
      <c r="I68" s="897">
        <f>'[9]21-22 Initial_Type1,1B,2,3,3B,4'!D69</f>
        <v>386.38146515587704</v>
      </c>
      <c r="J68" s="897">
        <f>'[9]21-22 Initial_Type1,1B,2,3,3B,4'!E69</f>
        <v>105.37676322433009</v>
      </c>
      <c r="K68" s="897">
        <f>'[9]21-22 Initial_Type1,1B,2,3,3B,4'!F69</f>
        <v>2634.4190806082524</v>
      </c>
      <c r="L68" s="897">
        <f>'[9]21-22 Initial_Type1,1B,2,3,3B,4'!G69</f>
        <v>1053.7676322433008</v>
      </c>
      <c r="M68" s="897">
        <f>'[9]21-22 Initial_Type1,1B,2,3,3B,4'!K69</f>
        <v>10503</v>
      </c>
      <c r="N68" s="897">
        <f>'[9]21-22 Initial_Type1,1B,2,3,3B,4'!N69</f>
        <v>12149</v>
      </c>
      <c r="O68" s="898">
        <f t="shared" si="3"/>
        <v>14403.015974795706</v>
      </c>
      <c r="P68" s="897">
        <f>'2_State Distrib and Adjs'!AL69</f>
        <v>3982</v>
      </c>
      <c r="Q68" s="897">
        <f>'3_Levels 1&amp;2'!AM69</f>
        <v>3225.3450942484292</v>
      </c>
      <c r="R68" s="897">
        <f>'3_Levels 1&amp;2'!AU69</f>
        <v>5628.94</v>
      </c>
      <c r="S68" s="897">
        <f t="shared" si="5"/>
        <v>9611.0750942484283</v>
      </c>
    </row>
    <row r="69" spans="1:19" ht="16.149999999999999" customHeight="1" x14ac:dyDescent="0.2">
      <c r="A69" s="895">
        <v>64</v>
      </c>
      <c r="B69" s="896" t="s">
        <v>194</v>
      </c>
      <c r="C69" s="897">
        <f>'[9]21-22 Initial_Type1,1B,2,3,3B,4'!C70</f>
        <v>3126.8987972147388</v>
      </c>
      <c r="D69" s="897">
        <f>'[9]21-22 Initial_Type1,1B,2,3,3B,4'!H70</f>
        <v>1288</v>
      </c>
      <c r="E69" s="897">
        <f>'[9]21-22 Initial_Type1,1B,2,3,3B,4'!J70</f>
        <v>171.35744456177403</v>
      </c>
      <c r="F69" s="898">
        <f t="shared" si="4"/>
        <v>4586.256241776513</v>
      </c>
      <c r="G69" s="897">
        <v>592.66</v>
      </c>
      <c r="H69" s="898">
        <f t="shared" si="2"/>
        <v>5178.9162417765128</v>
      </c>
      <c r="I69" s="897">
        <f>'[9]21-22 Initial_Type1,1B,2,3,3B,4'!D70</f>
        <v>687.91773538724249</v>
      </c>
      <c r="J69" s="897">
        <f>'[9]21-22 Initial_Type1,1B,2,3,3B,4'!E70</f>
        <v>187.61392783288434</v>
      </c>
      <c r="K69" s="897">
        <f>'[9]21-22 Initial_Type1,1B,2,3,3B,4'!F70</f>
        <v>4690.3481958221091</v>
      </c>
      <c r="L69" s="897">
        <f>'[9]21-22 Initial_Type1,1B,2,3,3B,4'!G70</f>
        <v>1876.1392783288434</v>
      </c>
      <c r="M69" s="897">
        <f>'[9]21-22 Initial_Type1,1B,2,3,3B,4'!K70</f>
        <v>3166</v>
      </c>
      <c r="N69" s="897">
        <f>'[9]21-22 Initial_Type1,1B,2,3,3B,4'!N70</f>
        <v>3422</v>
      </c>
      <c r="O69" s="898">
        <f t="shared" si="3"/>
        <v>8008.256241776513</v>
      </c>
      <c r="P69" s="897">
        <f>'2_State Distrib and Adjs'!AL70</f>
        <v>7139</v>
      </c>
      <c r="Q69" s="897">
        <f>'3_Levels 1&amp;2'!AM70</f>
        <v>6541.3453009503692</v>
      </c>
      <c r="R69" s="897">
        <f>'3_Levels 1&amp;2'!AU70</f>
        <v>3522.77</v>
      </c>
      <c r="S69" s="897">
        <f t="shared" si="5"/>
        <v>10656.775300950369</v>
      </c>
    </row>
    <row r="70" spans="1:19" ht="16.149999999999999" customHeight="1" x14ac:dyDescent="0.2">
      <c r="A70" s="899">
        <v>65</v>
      </c>
      <c r="B70" s="900" t="s">
        <v>1288</v>
      </c>
      <c r="C70" s="901">
        <f>'[9]21-22 Initial_Type1,1B,2,3,3B,4'!C71</f>
        <v>2692.0477700035412</v>
      </c>
      <c r="D70" s="901">
        <f>'[9]21-22 Initial_Type1,1B,2,3,3B,4'!H71</f>
        <v>895</v>
      </c>
      <c r="E70" s="901">
        <f>'[9]21-22 Initial_Type1,1B,2,3,3B,4'!J71</f>
        <v>171.3572798159274</v>
      </c>
      <c r="F70" s="902">
        <f t="shared" si="4"/>
        <v>3758.4050498194688</v>
      </c>
      <c r="G70" s="901">
        <v>829.12</v>
      </c>
      <c r="H70" s="902">
        <f t="shared" ref="H70:H75" si="6">SUM(F70:G70)</f>
        <v>4587.5250498194691</v>
      </c>
      <c r="I70" s="901">
        <f>'[9]21-22 Initial_Type1,1B,2,3,3B,4'!D71</f>
        <v>592.25050940077915</v>
      </c>
      <c r="J70" s="901">
        <f>'[9]21-22 Initial_Type1,1B,2,3,3B,4'!E71</f>
        <v>161.52286620021246</v>
      </c>
      <c r="K70" s="901">
        <f>'[9]21-22 Initial_Type1,1B,2,3,3B,4'!F71</f>
        <v>4038.0716550053121</v>
      </c>
      <c r="L70" s="901">
        <f>'[9]21-22 Initial_Type1,1B,2,3,3B,4'!G71</f>
        <v>1615.2286620021248</v>
      </c>
      <c r="M70" s="901">
        <f>'[9]21-22 Initial_Type1,1B,2,3,3B,4'!K71</f>
        <v>5163</v>
      </c>
      <c r="N70" s="901">
        <f>'[9]21-22 Initial_Type1,1B,2,3,3B,4'!N71</f>
        <v>5521</v>
      </c>
      <c r="O70" s="902">
        <f t="shared" ref="O70:O75" si="7">F70+N70</f>
        <v>9279.4050498194683</v>
      </c>
      <c r="P70" s="901">
        <f>'2_State Distrib and Adjs'!AL71</f>
        <v>5967</v>
      </c>
      <c r="Q70" s="901">
        <f>'3_Levels 1&amp;2'!AM71</f>
        <v>5137.7392304742425</v>
      </c>
      <c r="R70" s="901">
        <f>'3_Levels 1&amp;2'!AU71</f>
        <v>4065.76</v>
      </c>
      <c r="S70" s="901">
        <f t="shared" si="5"/>
        <v>10032.619230474244</v>
      </c>
    </row>
    <row r="71" spans="1:19" ht="16.149999999999999" customHeight="1" x14ac:dyDescent="0.2">
      <c r="A71" s="895">
        <v>66</v>
      </c>
      <c r="B71" s="896" t="s">
        <v>1289</v>
      </c>
      <c r="C71" s="893">
        <f>'[9]21-22 Initial_Type1,1B,2,3,3B,4'!C72</f>
        <v>2921.551442256196</v>
      </c>
      <c r="D71" s="893">
        <f>'[9]21-22 Initial_Type1,1B,2,3,3B,4'!H72</f>
        <v>1260</v>
      </c>
      <c r="E71" s="893">
        <f>'[9]21-22 Initial_Type1,1B,2,3,3B,4'!J72</f>
        <v>171.35737009544007</v>
      </c>
      <c r="F71" s="894">
        <f>SUM(C71:E71)</f>
        <v>4352.9088123516358</v>
      </c>
      <c r="G71" s="893">
        <v>730.06</v>
      </c>
      <c r="H71" s="894">
        <f t="shared" si="6"/>
        <v>5082.9688123516353</v>
      </c>
      <c r="I71" s="893">
        <f>'[9]21-22 Initial_Type1,1B,2,3,3B,4'!D72</f>
        <v>642.74131729636315</v>
      </c>
      <c r="J71" s="893">
        <f>'[9]21-22 Initial_Type1,1B,2,3,3B,4'!E72</f>
        <v>175.29308653537174</v>
      </c>
      <c r="K71" s="893">
        <f>'[9]21-22 Initial_Type1,1B,2,3,3B,4'!F72</f>
        <v>4382.3271633842933</v>
      </c>
      <c r="L71" s="893">
        <f>'[9]21-22 Initial_Type1,1B,2,3,3B,4'!G72</f>
        <v>1752.9308653537175</v>
      </c>
      <c r="M71" s="893">
        <f>'[9]21-22 Initial_Type1,1B,2,3,3B,4'!K72</f>
        <v>4627</v>
      </c>
      <c r="N71" s="893">
        <f>'[9]21-22 Initial_Type1,1B,2,3,3B,4'!N72</f>
        <v>4627</v>
      </c>
      <c r="O71" s="894">
        <f t="shared" si="7"/>
        <v>8979.9088123516358</v>
      </c>
      <c r="P71" s="893">
        <f>'2_State Distrib and Adjs'!AL72</f>
        <v>7246</v>
      </c>
      <c r="Q71" s="893">
        <f>'3_Levels 1&amp;2'!AM72</f>
        <v>6501.6892895015908</v>
      </c>
      <c r="R71" s="893">
        <f>'3_Levels 1&amp;2'!AU72</f>
        <v>4267.1099999999997</v>
      </c>
      <c r="S71" s="893">
        <f t="shared" ref="S71:S75" si="8">G71+Q71+R71</f>
        <v>11498.85928950159</v>
      </c>
    </row>
    <row r="72" spans="1:19" ht="16.149999999999999" customHeight="1" x14ac:dyDescent="0.2">
      <c r="A72" s="895">
        <v>67</v>
      </c>
      <c r="B72" s="896" t="s">
        <v>197</v>
      </c>
      <c r="C72" s="897">
        <f>'[9]21-22 Initial_Type1,1B,2,3,3B,4'!C73</f>
        <v>2958.756197147447</v>
      </c>
      <c r="D72" s="897">
        <f>'[9]21-22 Initial_Type1,1B,2,3,3B,4'!H73</f>
        <v>1046</v>
      </c>
      <c r="E72" s="897">
        <f>'[9]21-22 Initial_Type1,1B,2,3,3B,4'!J73</f>
        <v>171.35728914541053</v>
      </c>
      <c r="F72" s="898">
        <f>SUM(C72:E72)</f>
        <v>4176.1134862928575</v>
      </c>
      <c r="G72" s="897">
        <v>715.61</v>
      </c>
      <c r="H72" s="898">
        <f t="shared" si="6"/>
        <v>4891.7234862928572</v>
      </c>
      <c r="I72" s="897">
        <f>'[9]21-22 Initial_Type1,1B,2,3,3B,4'!D73</f>
        <v>650.92636337243835</v>
      </c>
      <c r="J72" s="897">
        <f>'[9]21-22 Initial_Type1,1B,2,3,3B,4'!E73</f>
        <v>177.5253718288468</v>
      </c>
      <c r="K72" s="897">
        <f>'[9]21-22 Initial_Type1,1B,2,3,3B,4'!F73</f>
        <v>4438.1342957211709</v>
      </c>
      <c r="L72" s="897">
        <f>'[9]21-22 Initial_Type1,1B,2,3,3B,4'!G73</f>
        <v>1775.2537182884682</v>
      </c>
      <c r="M72" s="897">
        <f>'[9]21-22 Initial_Type1,1B,2,3,3B,4'!K73</f>
        <v>4206</v>
      </c>
      <c r="N72" s="897">
        <f>'[9]21-22 Initial_Type1,1B,2,3,3B,4'!N73</f>
        <v>5373</v>
      </c>
      <c r="O72" s="898">
        <f t="shared" si="7"/>
        <v>9549.1134862928575</v>
      </c>
      <c r="P72" s="897">
        <f>'2_State Distrib and Adjs'!AL73</f>
        <v>6072</v>
      </c>
      <c r="Q72" s="897">
        <f>'3_Levels 1&amp;2'!AM73</f>
        <v>5356.8482591696147</v>
      </c>
      <c r="R72" s="897">
        <f>'3_Levels 1&amp;2'!AU73</f>
        <v>3387.88</v>
      </c>
      <c r="S72" s="897">
        <f t="shared" si="8"/>
        <v>9460.3382591696136</v>
      </c>
    </row>
    <row r="73" spans="1:19" ht="16.149999999999999" customHeight="1" x14ac:dyDescent="0.2">
      <c r="A73" s="895">
        <v>68</v>
      </c>
      <c r="B73" s="896" t="s">
        <v>1290</v>
      </c>
      <c r="C73" s="897">
        <f>'[9]21-22 Initial_Type1,1B,2,3,3B,4'!C74</f>
        <v>3160.1124464567101</v>
      </c>
      <c r="D73" s="897">
        <f>'[9]21-22 Initial_Type1,1B,2,3,3B,4'!H74</f>
        <v>1346</v>
      </c>
      <c r="E73" s="897">
        <f>'[9]21-22 Initial_Type1,1B,2,3,3B,4'!J74</f>
        <v>171.35709656513285</v>
      </c>
      <c r="F73" s="898">
        <f>SUM(C73:E73)</f>
        <v>4677.4695430218426</v>
      </c>
      <c r="G73" s="897">
        <v>798.7</v>
      </c>
      <c r="H73" s="898">
        <f t="shared" si="6"/>
        <v>5476.1695430218424</v>
      </c>
      <c r="I73" s="897">
        <f>'[9]21-22 Initial_Type1,1B,2,3,3B,4'!D74</f>
        <v>695.22473822047607</v>
      </c>
      <c r="J73" s="897">
        <f>'[9]21-22 Initial_Type1,1B,2,3,3B,4'!E74</f>
        <v>189.60674678740253</v>
      </c>
      <c r="K73" s="897">
        <f>'[9]21-22 Initial_Type1,1B,2,3,3B,4'!F74</f>
        <v>4740.1686696850647</v>
      </c>
      <c r="L73" s="897">
        <f>'[9]21-22 Initial_Type1,1B,2,3,3B,4'!G74</f>
        <v>1896.0674678740254</v>
      </c>
      <c r="M73" s="897">
        <f>'[9]21-22 Initial_Type1,1B,2,3,3B,4'!K74</f>
        <v>3799</v>
      </c>
      <c r="N73" s="897">
        <f>'[9]21-22 Initial_Type1,1B,2,3,3B,4'!N74</f>
        <v>3799</v>
      </c>
      <c r="O73" s="898">
        <f t="shared" si="7"/>
        <v>8476.4695430218417</v>
      </c>
      <c r="P73" s="897">
        <f>'2_State Distrib and Adjs'!AL74</f>
        <v>7451</v>
      </c>
      <c r="Q73" s="897">
        <f>'3_Levels 1&amp;2'!AM74</f>
        <v>6432.1801685029168</v>
      </c>
      <c r="R73" s="897">
        <f>'3_Levels 1&amp;2'!AU74</f>
        <v>3452.87</v>
      </c>
      <c r="S73" s="897">
        <f t="shared" si="8"/>
        <v>10683.750168502916</v>
      </c>
    </row>
    <row r="74" spans="1:19" ht="16.149999999999999" customHeight="1" x14ac:dyDescent="0.2">
      <c r="A74" s="899">
        <v>69</v>
      </c>
      <c r="B74" s="900" t="s">
        <v>199</v>
      </c>
      <c r="C74" s="903">
        <f>'[9]21-22 Initial_Type1,1B,2,3,3B,4'!C75</f>
        <v>3258.3942328830703</v>
      </c>
      <c r="D74" s="903">
        <f>'[9]21-22 Initial_Type1,1B,2,3,3B,4'!H75</f>
        <v>1302</v>
      </c>
      <c r="E74" s="903">
        <f>'[9]21-22 Initial_Type1,1B,2,3,3B,4'!J75</f>
        <v>171.35735294117646</v>
      </c>
      <c r="F74" s="904">
        <f>SUM(C74:E74)</f>
        <v>4731.7515858242468</v>
      </c>
      <c r="G74" s="903">
        <v>705.67</v>
      </c>
      <c r="H74" s="904">
        <f t="shared" si="6"/>
        <v>5437.4215858242469</v>
      </c>
      <c r="I74" s="903">
        <f>'[9]21-22 Initial_Type1,1B,2,3,3B,4'!D75</f>
        <v>716.84673123427547</v>
      </c>
      <c r="J74" s="903">
        <f>'[9]21-22 Initial_Type1,1B,2,3,3B,4'!E75</f>
        <v>195.50365397298421</v>
      </c>
      <c r="K74" s="903">
        <f>'[9]21-22 Initial_Type1,1B,2,3,3B,4'!F75</f>
        <v>4887.5913493246053</v>
      </c>
      <c r="L74" s="903">
        <f>'[9]21-22 Initial_Type1,1B,2,3,3B,4'!G75</f>
        <v>1955.0365397298419</v>
      </c>
      <c r="M74" s="903">
        <f>'[9]21-22 Initial_Type1,1B,2,3,3B,4'!K75</f>
        <v>2864</v>
      </c>
      <c r="N74" s="903">
        <f>'[9]21-22 Initial_Type1,1B,2,3,3B,4'!N75</f>
        <v>4221</v>
      </c>
      <c r="O74" s="904">
        <f t="shared" si="7"/>
        <v>8952.7515858242477</v>
      </c>
      <c r="P74" s="903">
        <f>'2_State Distrib and Adjs'!AL75</f>
        <v>6773</v>
      </c>
      <c r="Q74" s="903">
        <f>'3_Levels 1&amp;2'!AM75</f>
        <v>6070.4602941176472</v>
      </c>
      <c r="R74" s="903">
        <f>'3_Levels 1&amp;2'!AU75</f>
        <v>2993.48</v>
      </c>
      <c r="S74" s="903">
        <f t="shared" si="8"/>
        <v>9769.6102941176468</v>
      </c>
    </row>
    <row r="75" spans="1:19" ht="16.149999999999999" customHeight="1" thickBot="1" x14ac:dyDescent="0.25">
      <c r="A75" s="905"/>
      <c r="B75" s="905" t="s">
        <v>1291</v>
      </c>
      <c r="C75" s="906">
        <f>'[9]21-22 Initial_Type1,1B,2,3,3B,4'!C76</f>
        <v>2609.1478735061364</v>
      </c>
      <c r="D75" s="906">
        <f>'[9]21-22 Initial_Type1,1B,2,3,3B,4'!H76</f>
        <v>760</v>
      </c>
      <c r="E75" s="906">
        <f>'[9]21-22 Initial_Type1,1B,2,3,3B,4'!J76</f>
        <v>215.3655004364162</v>
      </c>
      <c r="F75" s="907">
        <f>SUM(C75:E75)</f>
        <v>3584.5133739425528</v>
      </c>
      <c r="G75" s="906">
        <f>'3A_Level 3'!C76</f>
        <v>706.78</v>
      </c>
      <c r="H75" s="907">
        <f t="shared" si="6"/>
        <v>4291.2933739425525</v>
      </c>
      <c r="I75" s="906">
        <f>'[9]21-22 Initial_Type1,1B,2,3,3B,4'!D76</f>
        <v>570.96197950029125</v>
      </c>
      <c r="J75" s="906">
        <f>'[9]21-22 Initial_Type1,1B,2,3,3B,4'!E76</f>
        <v>158.93557574793414</v>
      </c>
      <c r="K75" s="906">
        <f>'[9]21-22 Initial_Type1,1B,2,3,3B,4'!F76</f>
        <v>3934.1092388173529</v>
      </c>
      <c r="L75" s="906">
        <f>'[9]21-22 Initial_Type1,1B,2,3,3B,4'!G76</f>
        <v>1527.3259069250446</v>
      </c>
      <c r="M75" s="906">
        <f>'[9]21-22 Initial_Type1,1B,2,3,3B,4'!K76</f>
        <v>5184</v>
      </c>
      <c r="N75" s="906">
        <f>'[9]21-22 Initial_Type1,1B,2,3,3B,4'!N76</f>
        <v>5846</v>
      </c>
      <c r="O75" s="907">
        <f t="shared" si="7"/>
        <v>9430.5133739425528</v>
      </c>
      <c r="P75" s="906">
        <f>'2_State Distrib and Adjs'!AL76</f>
        <v>5447</v>
      </c>
      <c r="Q75" s="906">
        <f>'3_Levels 1&amp;2'!AM76</f>
        <v>4722.1788885734077</v>
      </c>
      <c r="R75" s="906">
        <f>'3_Levels 1&amp;2'!AU76</f>
        <v>3917.62</v>
      </c>
      <c r="S75" s="906">
        <f t="shared" si="8"/>
        <v>9346.5788885734073</v>
      </c>
    </row>
    <row r="76" spans="1:19" ht="9.6" customHeight="1" thickTop="1" x14ac:dyDescent="0.2"/>
    <row r="77" spans="1:19" ht="16.149999999999999" customHeight="1" x14ac:dyDescent="0.2">
      <c r="C77" s="908" t="s">
        <v>1292</v>
      </c>
    </row>
    <row r="78" spans="1:19" ht="16.149999999999999" customHeight="1" x14ac:dyDescent="0.2"/>
  </sheetData>
  <sheetProtection password="D893" sheet="1" objects="1" scenarios="1"/>
  <mergeCells count="7">
    <mergeCell ref="R1:R2"/>
    <mergeCell ref="A1:B2"/>
    <mergeCell ref="C1:H1"/>
    <mergeCell ref="I1:L1"/>
    <mergeCell ref="M1:N1"/>
    <mergeCell ref="P1:P2"/>
    <mergeCell ref="Q1:Q2"/>
  </mergeCells>
  <printOptions horizontalCentered="1"/>
  <pageMargins left="0.5" right="0.5" top="0.8" bottom="0.4" header="0.3" footer="0.25"/>
  <pageSetup paperSize="5" scale="71" fitToWidth="0" orientation="portrait" r:id="rId1"/>
  <headerFooter alignWithMargins="0">
    <oddHeader>&amp;L&amp;"Arial,Bold"&amp;18Table 9: FY2021-22 Budget Letter
&amp;K000000Per Pupil Summary July 2021</oddHeader>
    <oddFooter>&amp;R&amp;P</oddFooter>
  </headerFooter>
  <colBreaks count="2" manualBreakCount="2">
    <brk id="8" max="77" man="1"/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77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3.42578125" style="2" bestFit="1" customWidth="1"/>
    <col min="2" max="2" width="18.28515625" style="2" customWidth="1"/>
    <col min="3" max="3" width="16.140625" style="2" customWidth="1"/>
    <col min="4" max="9" width="14" style="2" customWidth="1"/>
    <col min="10" max="31" width="13.7109375" style="2" customWidth="1"/>
    <col min="32" max="38" width="14" style="2" customWidth="1"/>
    <col min="39" max="40" width="16.42578125" style="2" customWidth="1"/>
    <col min="41" max="16384" width="8.85546875" style="2"/>
  </cols>
  <sheetData>
    <row r="1" spans="1:40" ht="19.5" customHeight="1" x14ac:dyDescent="0.2">
      <c r="A1" s="927" t="s">
        <v>201</v>
      </c>
      <c r="B1" s="927"/>
      <c r="C1" s="913" t="s">
        <v>202</v>
      </c>
      <c r="D1" s="928" t="s">
        <v>203</v>
      </c>
      <c r="E1" s="928"/>
      <c r="F1" s="928"/>
      <c r="G1" s="928"/>
      <c r="H1" s="928"/>
      <c r="I1" s="928"/>
      <c r="J1" s="928" t="s">
        <v>203</v>
      </c>
      <c r="K1" s="928"/>
      <c r="L1" s="928"/>
      <c r="M1" s="928"/>
      <c r="N1" s="928"/>
      <c r="O1" s="928"/>
      <c r="P1" s="928"/>
      <c r="Q1" s="928"/>
      <c r="R1" s="928" t="s">
        <v>203</v>
      </c>
      <c r="S1" s="928"/>
      <c r="T1" s="928"/>
      <c r="U1" s="928"/>
      <c r="V1" s="928"/>
      <c r="W1" s="928"/>
      <c r="X1" s="928"/>
      <c r="Y1" s="928"/>
      <c r="Z1" s="923" t="s">
        <v>203</v>
      </c>
      <c r="AA1" s="924"/>
      <c r="AB1" s="924"/>
      <c r="AC1" s="924"/>
      <c r="AD1" s="924"/>
      <c r="AE1" s="924"/>
      <c r="AF1" s="924"/>
      <c r="AG1" s="925"/>
      <c r="AH1" s="923" t="s">
        <v>203</v>
      </c>
      <c r="AI1" s="924"/>
      <c r="AJ1" s="924"/>
      <c r="AK1" s="924"/>
      <c r="AL1" s="924"/>
      <c r="AM1" s="925"/>
      <c r="AN1" s="926" t="s">
        <v>204</v>
      </c>
    </row>
    <row r="2" spans="1:40" ht="96.75" customHeight="1" x14ac:dyDescent="0.2">
      <c r="A2" s="927"/>
      <c r="B2" s="927"/>
      <c r="C2" s="913"/>
      <c r="D2" s="71" t="s">
        <v>205</v>
      </c>
      <c r="E2" s="71" t="s">
        <v>27</v>
      </c>
      <c r="F2" s="72" t="s">
        <v>28</v>
      </c>
      <c r="G2" s="72" t="s">
        <v>29</v>
      </c>
      <c r="H2" s="72" t="s">
        <v>30</v>
      </c>
      <c r="I2" s="72" t="s">
        <v>31</v>
      </c>
      <c r="J2" s="72" t="s">
        <v>32</v>
      </c>
      <c r="K2" s="72" t="s">
        <v>33</v>
      </c>
      <c r="L2" s="72" t="s">
        <v>34</v>
      </c>
      <c r="M2" s="72" t="s">
        <v>35</v>
      </c>
      <c r="N2" s="72" t="s">
        <v>36</v>
      </c>
      <c r="O2" s="72" t="s">
        <v>37</v>
      </c>
      <c r="P2" s="72" t="s">
        <v>38</v>
      </c>
      <c r="Q2" s="72" t="s">
        <v>39</v>
      </c>
      <c r="R2" s="72" t="s">
        <v>40</v>
      </c>
      <c r="S2" s="72" t="s">
        <v>41</v>
      </c>
      <c r="T2" s="72" t="s">
        <v>42</v>
      </c>
      <c r="U2" s="72" t="s">
        <v>43</v>
      </c>
      <c r="V2" s="72" t="s">
        <v>44</v>
      </c>
      <c r="W2" s="72" t="s">
        <v>45</v>
      </c>
      <c r="X2" s="72" t="s">
        <v>46</v>
      </c>
      <c r="Y2" s="72" t="s">
        <v>47</v>
      </c>
      <c r="Z2" s="71" t="s">
        <v>48</v>
      </c>
      <c r="AA2" s="71" t="s">
        <v>49</v>
      </c>
      <c r="AB2" s="71" t="s">
        <v>50</v>
      </c>
      <c r="AC2" s="71" t="s">
        <v>51</v>
      </c>
      <c r="AD2" s="71" t="s">
        <v>52</v>
      </c>
      <c r="AE2" s="71" t="s">
        <v>53</v>
      </c>
      <c r="AF2" s="71" t="s">
        <v>54</v>
      </c>
      <c r="AG2" s="71" t="s">
        <v>206</v>
      </c>
      <c r="AH2" s="71" t="s">
        <v>56</v>
      </c>
      <c r="AI2" s="71" t="s">
        <v>207</v>
      </c>
      <c r="AJ2" s="71" t="s">
        <v>208</v>
      </c>
      <c r="AK2" s="72" t="s">
        <v>57</v>
      </c>
      <c r="AL2" s="72" t="s">
        <v>58</v>
      </c>
      <c r="AM2" s="71" t="s">
        <v>209</v>
      </c>
      <c r="AN2" s="926"/>
    </row>
    <row r="3" spans="1:40" ht="12.75" hidden="1" customHeight="1" x14ac:dyDescent="0.2">
      <c r="A3" s="73"/>
      <c r="B3" s="73"/>
      <c r="C3" s="17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72"/>
      <c r="AM3" s="71"/>
      <c r="AN3" s="74"/>
    </row>
    <row r="4" spans="1:40" s="75" customFormat="1" x14ac:dyDescent="0.2">
      <c r="A4" s="25"/>
      <c r="B4" s="26"/>
      <c r="C4" s="27">
        <v>1</v>
      </c>
      <c r="D4" s="27">
        <f t="shared" ref="D4:AN4" si="0">C4+1</f>
        <v>2</v>
      </c>
      <c r="E4" s="27">
        <f t="shared" si="0"/>
        <v>3</v>
      </c>
      <c r="F4" s="27">
        <f t="shared" si="0"/>
        <v>4</v>
      </c>
      <c r="G4" s="27">
        <f t="shared" si="0"/>
        <v>5</v>
      </c>
      <c r="H4" s="27">
        <f t="shared" si="0"/>
        <v>6</v>
      </c>
      <c r="I4" s="27">
        <f t="shared" si="0"/>
        <v>7</v>
      </c>
      <c r="J4" s="27">
        <f t="shared" si="0"/>
        <v>8</v>
      </c>
      <c r="K4" s="27">
        <f t="shared" si="0"/>
        <v>9</v>
      </c>
      <c r="L4" s="27">
        <f t="shared" si="0"/>
        <v>10</v>
      </c>
      <c r="M4" s="27">
        <f t="shared" si="0"/>
        <v>11</v>
      </c>
      <c r="N4" s="27">
        <f t="shared" si="0"/>
        <v>12</v>
      </c>
      <c r="O4" s="27">
        <f t="shared" si="0"/>
        <v>13</v>
      </c>
      <c r="P4" s="27">
        <f t="shared" si="0"/>
        <v>14</v>
      </c>
      <c r="Q4" s="27">
        <f t="shared" si="0"/>
        <v>15</v>
      </c>
      <c r="R4" s="27">
        <f t="shared" si="0"/>
        <v>16</v>
      </c>
      <c r="S4" s="27">
        <f t="shared" si="0"/>
        <v>17</v>
      </c>
      <c r="T4" s="27">
        <f t="shared" si="0"/>
        <v>18</v>
      </c>
      <c r="U4" s="27">
        <f t="shared" si="0"/>
        <v>19</v>
      </c>
      <c r="V4" s="27">
        <f t="shared" si="0"/>
        <v>20</v>
      </c>
      <c r="W4" s="27">
        <f t="shared" si="0"/>
        <v>21</v>
      </c>
      <c r="X4" s="27">
        <f t="shared" si="0"/>
        <v>22</v>
      </c>
      <c r="Y4" s="27">
        <f t="shared" si="0"/>
        <v>23</v>
      </c>
      <c r="Z4" s="27">
        <f t="shared" si="0"/>
        <v>24</v>
      </c>
      <c r="AA4" s="27">
        <f t="shared" si="0"/>
        <v>25</v>
      </c>
      <c r="AB4" s="27">
        <f t="shared" si="0"/>
        <v>26</v>
      </c>
      <c r="AC4" s="27">
        <f t="shared" si="0"/>
        <v>27</v>
      </c>
      <c r="AD4" s="27">
        <f t="shared" si="0"/>
        <v>28</v>
      </c>
      <c r="AE4" s="27">
        <f t="shared" si="0"/>
        <v>29</v>
      </c>
      <c r="AF4" s="27">
        <f t="shared" si="0"/>
        <v>30</v>
      </c>
      <c r="AG4" s="27">
        <f t="shared" si="0"/>
        <v>31</v>
      </c>
      <c r="AH4" s="27">
        <f t="shared" si="0"/>
        <v>32</v>
      </c>
      <c r="AI4" s="27">
        <f t="shared" si="0"/>
        <v>33</v>
      </c>
      <c r="AJ4" s="27">
        <f t="shared" si="0"/>
        <v>34</v>
      </c>
      <c r="AK4" s="27">
        <f t="shared" si="0"/>
        <v>35</v>
      </c>
      <c r="AL4" s="27">
        <f t="shared" si="0"/>
        <v>36</v>
      </c>
      <c r="AM4" s="27">
        <f t="shared" si="0"/>
        <v>37</v>
      </c>
      <c r="AN4" s="27">
        <f t="shared" si="0"/>
        <v>38</v>
      </c>
    </row>
    <row r="5" spans="1:40" s="35" customFormat="1" ht="11.25" hidden="1" x14ac:dyDescent="0.2">
      <c r="A5" s="30"/>
      <c r="B5" s="30"/>
      <c r="C5" s="76" t="s">
        <v>73</v>
      </c>
      <c r="D5" s="31" t="s">
        <v>73</v>
      </c>
      <c r="E5" s="31" t="s">
        <v>73</v>
      </c>
      <c r="F5" s="31" t="s">
        <v>73</v>
      </c>
      <c r="G5" s="31" t="s">
        <v>73</v>
      </c>
      <c r="H5" s="31" t="s">
        <v>73</v>
      </c>
      <c r="I5" s="31" t="s">
        <v>73</v>
      </c>
      <c r="J5" s="31" t="s">
        <v>73</v>
      </c>
      <c r="K5" s="31" t="s">
        <v>73</v>
      </c>
      <c r="L5" s="31" t="s">
        <v>73</v>
      </c>
      <c r="M5" s="31" t="s">
        <v>73</v>
      </c>
      <c r="N5" s="31" t="s">
        <v>73</v>
      </c>
      <c r="O5" s="31" t="s">
        <v>73</v>
      </c>
      <c r="P5" s="31" t="s">
        <v>73</v>
      </c>
      <c r="Q5" s="31" t="s">
        <v>73</v>
      </c>
      <c r="R5" s="31" t="s">
        <v>73</v>
      </c>
      <c r="S5" s="31" t="s">
        <v>73</v>
      </c>
      <c r="T5" s="31" t="s">
        <v>73</v>
      </c>
      <c r="U5" s="31" t="s">
        <v>73</v>
      </c>
      <c r="V5" s="31" t="s">
        <v>73</v>
      </c>
      <c r="W5" s="31" t="s">
        <v>73</v>
      </c>
      <c r="X5" s="31" t="s">
        <v>73</v>
      </c>
      <c r="Y5" s="31" t="s">
        <v>73</v>
      </c>
      <c r="Z5" s="31" t="s">
        <v>73</v>
      </c>
      <c r="AA5" s="31" t="s">
        <v>73</v>
      </c>
      <c r="AB5" s="31" t="s">
        <v>73</v>
      </c>
      <c r="AC5" s="31" t="s">
        <v>73</v>
      </c>
      <c r="AD5" s="31" t="s">
        <v>73</v>
      </c>
      <c r="AE5" s="31" t="s">
        <v>73</v>
      </c>
      <c r="AF5" s="31" t="s">
        <v>73</v>
      </c>
      <c r="AG5" s="76" t="s">
        <v>73</v>
      </c>
      <c r="AH5" s="76" t="s">
        <v>73</v>
      </c>
      <c r="AI5" s="76"/>
      <c r="AJ5" s="76"/>
      <c r="AK5" s="31" t="s">
        <v>73</v>
      </c>
      <c r="AL5" s="31" t="s">
        <v>73</v>
      </c>
      <c r="AM5" s="76" t="s">
        <v>74</v>
      </c>
      <c r="AN5" s="31" t="s">
        <v>74</v>
      </c>
    </row>
    <row r="6" spans="1:40" s="35" customFormat="1" ht="22.5" x14ac:dyDescent="0.2">
      <c r="A6" s="30"/>
      <c r="B6" s="30"/>
      <c r="C6" s="76" t="s">
        <v>210</v>
      </c>
      <c r="D6" s="31" t="s">
        <v>211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216</v>
      </c>
      <c r="J6" s="32" t="s">
        <v>217</v>
      </c>
      <c r="K6" s="32" t="s">
        <v>218</v>
      </c>
      <c r="L6" s="32" t="s">
        <v>219</v>
      </c>
      <c r="M6" s="32" t="s">
        <v>220</v>
      </c>
      <c r="N6" s="32" t="s">
        <v>221</v>
      </c>
      <c r="O6" s="32" t="s">
        <v>222</v>
      </c>
      <c r="P6" s="32" t="s">
        <v>223</v>
      </c>
      <c r="Q6" s="32" t="s">
        <v>224</v>
      </c>
      <c r="R6" s="32" t="s">
        <v>225</v>
      </c>
      <c r="S6" s="32" t="s">
        <v>226</v>
      </c>
      <c r="T6" s="32" t="s">
        <v>227</v>
      </c>
      <c r="U6" s="32" t="s">
        <v>228</v>
      </c>
      <c r="V6" s="32" t="s">
        <v>229</v>
      </c>
      <c r="W6" s="32" t="s">
        <v>230</v>
      </c>
      <c r="X6" s="32" t="s">
        <v>231</v>
      </c>
      <c r="Y6" s="32" t="s">
        <v>232</v>
      </c>
      <c r="Z6" s="32" t="s">
        <v>233</v>
      </c>
      <c r="AA6" s="32" t="s">
        <v>234</v>
      </c>
      <c r="AB6" s="32" t="s">
        <v>235</v>
      </c>
      <c r="AC6" s="32" t="s">
        <v>236</v>
      </c>
      <c r="AD6" s="32" t="s">
        <v>237</v>
      </c>
      <c r="AE6" s="32" t="s">
        <v>238</v>
      </c>
      <c r="AF6" s="32" t="s">
        <v>239</v>
      </c>
      <c r="AG6" s="32" t="s">
        <v>240</v>
      </c>
      <c r="AH6" s="32" t="s">
        <v>241</v>
      </c>
      <c r="AI6" s="32" t="s">
        <v>242</v>
      </c>
      <c r="AJ6" s="32" t="s">
        <v>243</v>
      </c>
      <c r="AK6" s="32" t="s">
        <v>244</v>
      </c>
      <c r="AL6" s="32" t="s">
        <v>245</v>
      </c>
      <c r="AM6" s="76" t="s">
        <v>246</v>
      </c>
      <c r="AN6" s="31" t="s">
        <v>247</v>
      </c>
    </row>
    <row r="7" spans="1:40" ht="15.6" customHeight="1" x14ac:dyDescent="0.2">
      <c r="A7" s="77">
        <v>1</v>
      </c>
      <c r="B7" s="78" t="s">
        <v>131</v>
      </c>
      <c r="C7" s="79">
        <f>'2_State Distrib and Adjs'!BE7</f>
        <v>57423116</v>
      </c>
      <c r="D7" s="79">
        <f>-'5A3_OJJ'!P7</f>
        <v>-11407</v>
      </c>
      <c r="E7" s="79"/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-17916</v>
      </c>
      <c r="X7" s="79">
        <v>-71664</v>
      </c>
      <c r="Y7" s="79">
        <v>-17916</v>
      </c>
      <c r="Z7" s="79">
        <v>0</v>
      </c>
      <c r="AA7" s="79">
        <v>0</v>
      </c>
      <c r="AB7" s="79">
        <v>0</v>
      </c>
      <c r="AC7" s="79">
        <v>-5972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-72560</v>
      </c>
      <c r="AL7" s="79">
        <v>-83309</v>
      </c>
      <c r="AM7" s="80">
        <f t="shared" ref="AM7:AM70" si="1">SUM(D7:AL7)</f>
        <v>-280744</v>
      </c>
      <c r="AN7" s="81">
        <f t="shared" ref="AN7:AN70" si="2">SUM(C7:AL7)</f>
        <v>57142372</v>
      </c>
    </row>
    <row r="8" spans="1:40" ht="15.6" customHeight="1" x14ac:dyDescent="0.2">
      <c r="A8" s="42">
        <v>2</v>
      </c>
      <c r="B8" s="43" t="s">
        <v>132</v>
      </c>
      <c r="C8" s="44">
        <f>'2_State Distrib and Adjs'!BE8</f>
        <v>30174261</v>
      </c>
      <c r="D8" s="44">
        <f>-'5A3_OJJ'!P8</f>
        <v>-1690</v>
      </c>
      <c r="E8" s="44"/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-3534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-3534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-28625</v>
      </c>
      <c r="AL8" s="44">
        <v>-95418</v>
      </c>
      <c r="AM8" s="82">
        <f t="shared" si="1"/>
        <v>-132801</v>
      </c>
      <c r="AN8" s="46">
        <f t="shared" si="2"/>
        <v>30041460</v>
      </c>
    </row>
    <row r="9" spans="1:40" ht="15.6" customHeight="1" x14ac:dyDescent="0.2">
      <c r="A9" s="42">
        <v>3</v>
      </c>
      <c r="B9" s="43" t="s">
        <v>133</v>
      </c>
      <c r="C9" s="44">
        <f>'2_State Distrib and Adjs'!BE9</f>
        <v>116259150</v>
      </c>
      <c r="D9" s="44">
        <f>-'5A3_OJJ'!P9</f>
        <v>-2246</v>
      </c>
      <c r="E9" s="44"/>
      <c r="F9" s="44">
        <v>-21405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-135565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-142700</v>
      </c>
      <c r="U9" s="44">
        <v>0</v>
      </c>
      <c r="V9" s="44">
        <v>0</v>
      </c>
      <c r="W9" s="44">
        <v>-7135</v>
      </c>
      <c r="X9" s="44">
        <v>0</v>
      </c>
      <c r="Y9" s="44">
        <v>0</v>
      </c>
      <c r="Z9" s="44">
        <v>-14270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-192645</v>
      </c>
      <c r="AL9" s="44">
        <v>-706365</v>
      </c>
      <c r="AM9" s="82">
        <f t="shared" si="1"/>
        <v>-1222331</v>
      </c>
      <c r="AN9" s="46">
        <f t="shared" si="2"/>
        <v>115036819</v>
      </c>
    </row>
    <row r="10" spans="1:40" ht="15.6" customHeight="1" x14ac:dyDescent="0.2">
      <c r="A10" s="42">
        <v>4</v>
      </c>
      <c r="B10" s="43" t="s">
        <v>134</v>
      </c>
      <c r="C10" s="44">
        <f>'2_State Distrib and Adjs'!BE10</f>
        <v>20534652</v>
      </c>
      <c r="D10" s="44">
        <f>-'5A3_OJJ'!P10</f>
        <v>0</v>
      </c>
      <c r="E10" s="44"/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-41013</v>
      </c>
      <c r="U10" s="44">
        <v>0</v>
      </c>
      <c r="V10" s="44">
        <v>0</v>
      </c>
      <c r="W10" s="44">
        <v>-13671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-36912</v>
      </c>
      <c r="AL10" s="44">
        <v>-65621</v>
      </c>
      <c r="AM10" s="82">
        <f t="shared" si="1"/>
        <v>-157217</v>
      </c>
      <c r="AN10" s="46">
        <f t="shared" si="2"/>
        <v>20377435</v>
      </c>
    </row>
    <row r="11" spans="1:40" ht="15.6" customHeight="1" x14ac:dyDescent="0.2">
      <c r="A11" s="47">
        <v>5</v>
      </c>
      <c r="B11" s="48" t="s">
        <v>135</v>
      </c>
      <c r="C11" s="49">
        <f>'2_State Distrib and Adjs'!BE11</f>
        <v>32264607</v>
      </c>
      <c r="D11" s="49">
        <f>-'5A3_OJJ'!P11</f>
        <v>-4684</v>
      </c>
      <c r="E11" s="49"/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-659880</v>
      </c>
      <c r="AI11" s="49">
        <v>0</v>
      </c>
      <c r="AJ11" s="49">
        <v>0</v>
      </c>
      <c r="AK11" s="49">
        <v>-47389</v>
      </c>
      <c r="AL11" s="49">
        <v>-85784</v>
      </c>
      <c r="AM11" s="83">
        <f t="shared" si="1"/>
        <v>-797737</v>
      </c>
      <c r="AN11" s="51">
        <f t="shared" si="2"/>
        <v>31466870</v>
      </c>
    </row>
    <row r="12" spans="1:40" ht="15.6" customHeight="1" x14ac:dyDescent="0.2">
      <c r="A12" s="77">
        <v>6</v>
      </c>
      <c r="B12" s="78" t="s">
        <v>136</v>
      </c>
      <c r="C12" s="79">
        <f>'2_State Distrib and Adjs'!BE12</f>
        <v>36414075</v>
      </c>
      <c r="D12" s="79">
        <f>-'5A3_OJJ'!P12</f>
        <v>-6691</v>
      </c>
      <c r="E12" s="79"/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-9676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-69667</v>
      </c>
      <c r="AL12" s="79">
        <v>-52250</v>
      </c>
      <c r="AM12" s="80">
        <f t="shared" si="1"/>
        <v>-138284</v>
      </c>
      <c r="AN12" s="81">
        <f t="shared" si="2"/>
        <v>36275791</v>
      </c>
    </row>
    <row r="13" spans="1:40" ht="15.6" customHeight="1" x14ac:dyDescent="0.2">
      <c r="A13" s="42">
        <v>7</v>
      </c>
      <c r="B13" s="43" t="s">
        <v>137</v>
      </c>
      <c r="C13" s="44">
        <f>'2_State Distrib and Adjs'!BE13</f>
        <v>8648924</v>
      </c>
      <c r="D13" s="44">
        <f>-'5A3_OJJ'!P13</f>
        <v>0</v>
      </c>
      <c r="E13" s="44"/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-374517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-62420</v>
      </c>
      <c r="AL13" s="44">
        <v>-112355</v>
      </c>
      <c r="AM13" s="82">
        <f t="shared" si="1"/>
        <v>-549292</v>
      </c>
      <c r="AN13" s="46">
        <f t="shared" si="2"/>
        <v>8099632</v>
      </c>
    </row>
    <row r="14" spans="1:40" ht="15.6" customHeight="1" x14ac:dyDescent="0.2">
      <c r="A14" s="42">
        <v>8</v>
      </c>
      <c r="B14" s="43" t="s">
        <v>138</v>
      </c>
      <c r="C14" s="44">
        <f>'2_State Distrib and Adjs'!BE14</f>
        <v>135358183</v>
      </c>
      <c r="D14" s="44">
        <f>-'5A3_OJJ'!P14</f>
        <v>-3476</v>
      </c>
      <c r="E14" s="44"/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-345654</v>
      </c>
      <c r="AL14" s="44">
        <v>-214866</v>
      </c>
      <c r="AM14" s="82">
        <f t="shared" si="1"/>
        <v>-563996</v>
      </c>
      <c r="AN14" s="46">
        <f t="shared" si="2"/>
        <v>134794187</v>
      </c>
    </row>
    <row r="15" spans="1:40" ht="15.6" customHeight="1" x14ac:dyDescent="0.2">
      <c r="A15" s="42">
        <v>9</v>
      </c>
      <c r="B15" s="43" t="s">
        <v>139</v>
      </c>
      <c r="C15" s="44">
        <f>'2_State Distrib and Adjs'!BE15</f>
        <v>206233710</v>
      </c>
      <c r="D15" s="44">
        <f>-'5A3_OJJ'!P15</f>
        <v>-67754</v>
      </c>
      <c r="E15" s="44">
        <f>-('5B2_RSD LA'!AM7+'5B2_RSD LA'!AR7)</f>
        <v>-4844680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-699735</v>
      </c>
      <c r="AL15" s="44">
        <v>-504460</v>
      </c>
      <c r="AM15" s="82">
        <f t="shared" si="1"/>
        <v>-6116629</v>
      </c>
      <c r="AN15" s="46">
        <f t="shared" si="2"/>
        <v>200117081</v>
      </c>
    </row>
    <row r="16" spans="1:40" ht="15.6" customHeight="1" x14ac:dyDescent="0.2">
      <c r="A16" s="47">
        <v>10</v>
      </c>
      <c r="B16" s="48" t="s">
        <v>140</v>
      </c>
      <c r="C16" s="49">
        <f>'2_State Distrib and Adjs'!BE16</f>
        <v>124711647</v>
      </c>
      <c r="D16" s="49">
        <f>-'5A3_OJJ'!P16</f>
        <v>-64254</v>
      </c>
      <c r="E16" s="49"/>
      <c r="F16" s="49">
        <v>0</v>
      </c>
      <c r="G16" s="49">
        <v>-7932</v>
      </c>
      <c r="H16" s="49">
        <v>0</v>
      </c>
      <c r="I16" s="49">
        <v>0</v>
      </c>
      <c r="J16" s="49">
        <v>0</v>
      </c>
      <c r="K16" s="49">
        <v>-6472512</v>
      </c>
      <c r="L16" s="49">
        <v>0</v>
      </c>
      <c r="M16" s="49">
        <v>-4513308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-7932</v>
      </c>
      <c r="U16" s="49">
        <v>-3978913</v>
      </c>
      <c r="V16" s="49">
        <v>0</v>
      </c>
      <c r="W16" s="49">
        <v>0</v>
      </c>
      <c r="X16" s="49">
        <v>-7932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-371218</v>
      </c>
      <c r="AL16" s="49">
        <v>-592520</v>
      </c>
      <c r="AM16" s="83">
        <f t="shared" si="1"/>
        <v>-16016521</v>
      </c>
      <c r="AN16" s="51">
        <f t="shared" si="2"/>
        <v>108695126</v>
      </c>
    </row>
    <row r="17" spans="1:40" ht="15.6" customHeight="1" x14ac:dyDescent="0.2">
      <c r="A17" s="77">
        <v>11</v>
      </c>
      <c r="B17" s="78" t="s">
        <v>141</v>
      </c>
      <c r="C17" s="79">
        <f>'2_State Distrib and Adjs'!BE17</f>
        <v>12270674</v>
      </c>
      <c r="D17" s="79">
        <f>-'5A3_OJJ'!P17</f>
        <v>0</v>
      </c>
      <c r="E17" s="79"/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-36808</v>
      </c>
      <c r="AM17" s="80">
        <f t="shared" si="1"/>
        <v>-36808</v>
      </c>
      <c r="AN17" s="81">
        <f t="shared" si="2"/>
        <v>12233866</v>
      </c>
    </row>
    <row r="18" spans="1:40" ht="15.6" customHeight="1" x14ac:dyDescent="0.2">
      <c r="A18" s="42">
        <v>12</v>
      </c>
      <c r="B18" s="43" t="s">
        <v>142</v>
      </c>
      <c r="C18" s="44">
        <f>'2_State Distrib and Adjs'!BE18</f>
        <v>3887986</v>
      </c>
      <c r="D18" s="44">
        <f>-'5A3_OJJ'!P18</f>
        <v>0</v>
      </c>
      <c r="E18" s="44"/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-12692</v>
      </c>
      <c r="AM18" s="82">
        <f t="shared" si="1"/>
        <v>-12692</v>
      </c>
      <c r="AN18" s="46">
        <f t="shared" si="2"/>
        <v>3875294</v>
      </c>
    </row>
    <row r="19" spans="1:40" ht="15.6" customHeight="1" x14ac:dyDescent="0.2">
      <c r="A19" s="42">
        <v>13</v>
      </c>
      <c r="B19" s="43" t="s">
        <v>143</v>
      </c>
      <c r="C19" s="44">
        <f>'2_State Distrib and Adjs'!BE19</f>
        <v>8623640</v>
      </c>
      <c r="D19" s="44">
        <f>-'5A3_OJJ'!P19</f>
        <v>0</v>
      </c>
      <c r="E19" s="44"/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-294501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-15166</v>
      </c>
      <c r="AL19" s="44">
        <v>-26803</v>
      </c>
      <c r="AM19" s="82">
        <f t="shared" si="1"/>
        <v>-336470</v>
      </c>
      <c r="AN19" s="46">
        <f t="shared" si="2"/>
        <v>8287170</v>
      </c>
    </row>
    <row r="20" spans="1:40" ht="15.6" customHeight="1" x14ac:dyDescent="0.2">
      <c r="A20" s="42">
        <v>14</v>
      </c>
      <c r="B20" s="43" t="s">
        <v>144</v>
      </c>
      <c r="C20" s="44">
        <f>'2_State Distrib and Adjs'!BE20</f>
        <v>13141107</v>
      </c>
      <c r="D20" s="44">
        <f>-'5A3_OJJ'!P20</f>
        <v>0</v>
      </c>
      <c r="E20" s="44"/>
      <c r="F20" s="44">
        <v>0</v>
      </c>
      <c r="G20" s="44">
        <v>-7714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-165851</v>
      </c>
      <c r="W20" s="44">
        <v>0</v>
      </c>
      <c r="X20" s="44">
        <v>0</v>
      </c>
      <c r="Y20" s="44">
        <v>0</v>
      </c>
      <c r="Z20" s="44">
        <v>0</v>
      </c>
      <c r="AA20" s="44">
        <v>-188993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-6943</v>
      </c>
      <c r="AL20" s="44">
        <v>-10414</v>
      </c>
      <c r="AM20" s="82">
        <f t="shared" si="1"/>
        <v>-379915</v>
      </c>
      <c r="AN20" s="46">
        <f t="shared" si="2"/>
        <v>12761192</v>
      </c>
    </row>
    <row r="21" spans="1:40" ht="15.6" customHeight="1" x14ac:dyDescent="0.2">
      <c r="A21" s="47">
        <v>15</v>
      </c>
      <c r="B21" s="48" t="s">
        <v>145</v>
      </c>
      <c r="C21" s="49">
        <f>'2_State Distrib and Adjs'!BE21</f>
        <v>23193782</v>
      </c>
      <c r="D21" s="49">
        <f>-'5A3_OJJ'!P21</f>
        <v>-1596</v>
      </c>
      <c r="E21" s="49"/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-992000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-28800</v>
      </c>
      <c r="AL21" s="49">
        <v>-2880</v>
      </c>
      <c r="AM21" s="83">
        <f t="shared" si="1"/>
        <v>-1025276</v>
      </c>
      <c r="AN21" s="51">
        <f t="shared" si="2"/>
        <v>22168506</v>
      </c>
    </row>
    <row r="22" spans="1:40" ht="15.6" customHeight="1" x14ac:dyDescent="0.2">
      <c r="A22" s="77">
        <v>16</v>
      </c>
      <c r="B22" s="78" t="s">
        <v>146</v>
      </c>
      <c r="C22" s="79">
        <f>'2_State Distrib and Adjs'!BE22</f>
        <v>14240938</v>
      </c>
      <c r="D22" s="79">
        <f>-'5A3_OJJ'!P22</f>
        <v>-14461</v>
      </c>
      <c r="E22" s="79"/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-104674</v>
      </c>
      <c r="AL22" s="79">
        <v>-117758</v>
      </c>
      <c r="AM22" s="80">
        <f t="shared" si="1"/>
        <v>-236893</v>
      </c>
      <c r="AN22" s="81">
        <f t="shared" si="2"/>
        <v>14004045</v>
      </c>
    </row>
    <row r="23" spans="1:40" ht="15.6" customHeight="1" x14ac:dyDescent="0.2">
      <c r="A23" s="42">
        <v>17</v>
      </c>
      <c r="B23" s="43" t="s">
        <v>147</v>
      </c>
      <c r="C23" s="44">
        <f>'2_State Distrib and Adjs'!BE23</f>
        <v>185775557</v>
      </c>
      <c r="D23" s="44">
        <f>-'5A3_OJJ'!P23</f>
        <v>-73939</v>
      </c>
      <c r="E23" s="44">
        <f>-('5B2_RSD LA'!AM18+'5B2_RSD LA'!AR18)</f>
        <v>-13622411</v>
      </c>
      <c r="F23" s="44">
        <v>-4412240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-7879</v>
      </c>
      <c r="N23" s="44">
        <v>-2300668</v>
      </c>
      <c r="O23" s="44">
        <v>0</v>
      </c>
      <c r="P23" s="44">
        <v>-5223777</v>
      </c>
      <c r="Q23" s="44">
        <v>0</v>
      </c>
      <c r="R23" s="44">
        <v>-1749458</v>
      </c>
      <c r="S23" s="44">
        <v>-1764896</v>
      </c>
      <c r="T23" s="44">
        <v>-307281</v>
      </c>
      <c r="U23" s="44">
        <v>0</v>
      </c>
      <c r="V23" s="44">
        <v>0</v>
      </c>
      <c r="W23" s="44">
        <v>-7879</v>
      </c>
      <c r="X23" s="44">
        <v>0</v>
      </c>
      <c r="Y23" s="44">
        <v>-23637</v>
      </c>
      <c r="Z23" s="44">
        <v>-5436510</v>
      </c>
      <c r="AA23" s="44">
        <v>0</v>
      </c>
      <c r="AB23" s="44">
        <v>0</v>
      </c>
      <c r="AC23" s="44">
        <v>0</v>
      </c>
      <c r="AD23" s="44">
        <v>-3592824</v>
      </c>
      <c r="AE23" s="44">
        <v>0</v>
      </c>
      <c r="AF23" s="44">
        <v>0</v>
      </c>
      <c r="AG23" s="44">
        <v>-1528526</v>
      </c>
      <c r="AH23" s="44">
        <v>0</v>
      </c>
      <c r="AI23" s="44">
        <v>0</v>
      </c>
      <c r="AJ23" s="44">
        <v>0</v>
      </c>
      <c r="AK23" s="44">
        <v>-872205</v>
      </c>
      <c r="AL23" s="44">
        <v>-2138110</v>
      </c>
      <c r="AM23" s="82">
        <f t="shared" si="1"/>
        <v>-43062240</v>
      </c>
      <c r="AN23" s="46">
        <f t="shared" si="2"/>
        <v>142713317</v>
      </c>
    </row>
    <row r="24" spans="1:40" ht="15.6" customHeight="1" x14ac:dyDescent="0.2">
      <c r="A24" s="42">
        <v>18</v>
      </c>
      <c r="B24" s="43" t="s">
        <v>148</v>
      </c>
      <c r="C24" s="44">
        <f>'2_State Distrib and Adjs'!BE24</f>
        <v>5977979</v>
      </c>
      <c r="D24" s="44">
        <f>-'5A3_OJJ'!P24</f>
        <v>0</v>
      </c>
      <c r="E24" s="44"/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-6219</v>
      </c>
      <c r="AL24" s="44">
        <v>-12438</v>
      </c>
      <c r="AM24" s="82">
        <f t="shared" si="1"/>
        <v>-18657</v>
      </c>
      <c r="AN24" s="46">
        <f t="shared" si="2"/>
        <v>5959322</v>
      </c>
    </row>
    <row r="25" spans="1:40" ht="15.6" customHeight="1" x14ac:dyDescent="0.2">
      <c r="A25" s="42">
        <v>19</v>
      </c>
      <c r="B25" s="43" t="s">
        <v>149</v>
      </c>
      <c r="C25" s="44">
        <f>'2_State Distrib and Adjs'!BE25</f>
        <v>9794727</v>
      </c>
      <c r="D25" s="44">
        <f>-'5A3_OJJ'!P25</f>
        <v>0</v>
      </c>
      <c r="E25" s="44"/>
      <c r="F25" s="44">
        <v>-4436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-39924</v>
      </c>
      <c r="O25" s="44">
        <v>0</v>
      </c>
      <c r="P25" s="44">
        <v>0</v>
      </c>
      <c r="Q25" s="44">
        <v>0</v>
      </c>
      <c r="R25" s="44">
        <v>0</v>
      </c>
      <c r="S25" s="44">
        <v>-39924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-27947</v>
      </c>
      <c r="AL25" s="44">
        <v>-123764</v>
      </c>
      <c r="AM25" s="82">
        <f t="shared" si="1"/>
        <v>-235995</v>
      </c>
      <c r="AN25" s="46">
        <f t="shared" si="2"/>
        <v>9558732</v>
      </c>
    </row>
    <row r="26" spans="1:40" ht="15.6" customHeight="1" x14ac:dyDescent="0.2">
      <c r="A26" s="47">
        <v>20</v>
      </c>
      <c r="B26" s="48" t="s">
        <v>150</v>
      </c>
      <c r="C26" s="49">
        <f>'2_State Distrib and Adjs'!BE26</f>
        <v>38232096</v>
      </c>
      <c r="D26" s="49">
        <f>-'5A3_OJJ'!P26</f>
        <v>-3826</v>
      </c>
      <c r="E26" s="49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-2929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-50086</v>
      </c>
      <c r="AL26" s="49">
        <v>-50086</v>
      </c>
      <c r="AM26" s="83">
        <f t="shared" si="1"/>
        <v>-106927</v>
      </c>
      <c r="AN26" s="51">
        <f t="shared" si="2"/>
        <v>38125169</v>
      </c>
    </row>
    <row r="27" spans="1:40" ht="15.6" customHeight="1" x14ac:dyDescent="0.2">
      <c r="A27" s="77">
        <v>21</v>
      </c>
      <c r="B27" s="78" t="s">
        <v>151</v>
      </c>
      <c r="C27" s="79">
        <f>'2_State Distrib and Adjs'!BE27</f>
        <v>20641690</v>
      </c>
      <c r="D27" s="79">
        <f>-'5A3_OJJ'!P27</f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-3130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-11268</v>
      </c>
      <c r="AL27" s="79">
        <v>-42255</v>
      </c>
      <c r="AM27" s="80">
        <f t="shared" si="1"/>
        <v>-56653</v>
      </c>
      <c r="AN27" s="81">
        <f t="shared" si="2"/>
        <v>20585037</v>
      </c>
    </row>
    <row r="28" spans="1:40" ht="15.6" customHeight="1" x14ac:dyDescent="0.2">
      <c r="A28" s="42">
        <v>22</v>
      </c>
      <c r="B28" s="43" t="s">
        <v>152</v>
      </c>
      <c r="C28" s="44">
        <f>'2_State Distrib and Adjs'!BE28</f>
        <v>22655552</v>
      </c>
      <c r="D28" s="44">
        <f>-'5A3_OJJ'!P28</f>
        <v>0</v>
      </c>
      <c r="E28" s="44"/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-15406</v>
      </c>
      <c r="AL28" s="44">
        <v>-29101</v>
      </c>
      <c r="AM28" s="82">
        <f t="shared" si="1"/>
        <v>-44507</v>
      </c>
      <c r="AN28" s="46">
        <f t="shared" si="2"/>
        <v>22611045</v>
      </c>
    </row>
    <row r="29" spans="1:40" ht="15.6" customHeight="1" x14ac:dyDescent="0.2">
      <c r="A29" s="42">
        <v>23</v>
      </c>
      <c r="B29" s="43" t="s">
        <v>153</v>
      </c>
      <c r="C29" s="44">
        <f>'2_State Distrib and Adjs'!BE29</f>
        <v>73739364</v>
      </c>
      <c r="D29" s="44">
        <f>-'5A3_OJJ'!P29</f>
        <v>-16253</v>
      </c>
      <c r="E29" s="44"/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-436296</v>
      </c>
      <c r="X29" s="44">
        <v>-24696</v>
      </c>
      <c r="Y29" s="44">
        <v>-4116</v>
      </c>
      <c r="Z29" s="44">
        <v>0</v>
      </c>
      <c r="AA29" s="44">
        <v>0</v>
      </c>
      <c r="AB29" s="44">
        <v>0</v>
      </c>
      <c r="AC29" s="44">
        <v>-12348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-139944</v>
      </c>
      <c r="AJ29" s="44">
        <v>0</v>
      </c>
      <c r="AK29" s="44">
        <v>-129654</v>
      </c>
      <c r="AL29" s="44">
        <v>-202075</v>
      </c>
      <c r="AM29" s="82">
        <f t="shared" si="1"/>
        <v>-965382</v>
      </c>
      <c r="AN29" s="46">
        <f t="shared" si="2"/>
        <v>72773982</v>
      </c>
    </row>
    <row r="30" spans="1:40" ht="15.6" customHeight="1" x14ac:dyDescent="0.2">
      <c r="A30" s="42">
        <v>24</v>
      </c>
      <c r="B30" s="43" t="s">
        <v>154</v>
      </c>
      <c r="C30" s="44">
        <f>'2_State Distrib and Adjs'!BE30</f>
        <v>12945100</v>
      </c>
      <c r="D30" s="44">
        <f>-'5A3_OJJ'!P30</f>
        <v>-1464</v>
      </c>
      <c r="E30" s="44"/>
      <c r="F30" s="44">
        <v>-28652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-214890</v>
      </c>
      <c r="O30" s="44">
        <v>0</v>
      </c>
      <c r="P30" s="44">
        <v>0</v>
      </c>
      <c r="Q30" s="44">
        <v>0</v>
      </c>
      <c r="R30" s="44">
        <v>-14326</v>
      </c>
      <c r="S30" s="44">
        <v>0</v>
      </c>
      <c r="T30" s="44">
        <v>-2378116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-38680</v>
      </c>
      <c r="AL30" s="44">
        <v>-180508</v>
      </c>
      <c r="AM30" s="82">
        <f t="shared" si="1"/>
        <v>-2856636</v>
      </c>
      <c r="AN30" s="46">
        <f t="shared" si="2"/>
        <v>10088464</v>
      </c>
    </row>
    <row r="31" spans="1:40" ht="15.6" customHeight="1" x14ac:dyDescent="0.2">
      <c r="A31" s="47">
        <v>25</v>
      </c>
      <c r="B31" s="48" t="s">
        <v>155</v>
      </c>
      <c r="C31" s="49">
        <f>'2_State Distrib and Adjs'!BE31</f>
        <v>13076964</v>
      </c>
      <c r="D31" s="49">
        <f>-'5A3_OJJ'!P31</f>
        <v>-1663</v>
      </c>
      <c r="E31" s="49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-98648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-52463</v>
      </c>
      <c r="AL31" s="49">
        <v>-24214</v>
      </c>
      <c r="AM31" s="83">
        <f t="shared" si="1"/>
        <v>-176988</v>
      </c>
      <c r="AN31" s="51">
        <f t="shared" si="2"/>
        <v>12899976</v>
      </c>
    </row>
    <row r="32" spans="1:40" ht="15.6" customHeight="1" x14ac:dyDescent="0.2">
      <c r="A32" s="77">
        <v>26</v>
      </c>
      <c r="B32" s="78" t="s">
        <v>156</v>
      </c>
      <c r="C32" s="79">
        <f>'2_State Distrib and Adjs'!BE32</f>
        <v>246116266</v>
      </c>
      <c r="D32" s="79">
        <f>-'5A3_OJJ'!P32</f>
        <v>-23085</v>
      </c>
      <c r="E32" s="79"/>
      <c r="F32" s="79">
        <v>0</v>
      </c>
      <c r="G32" s="79">
        <v>0</v>
      </c>
      <c r="H32" s="79">
        <v>-262810</v>
      </c>
      <c r="I32" s="79">
        <v>-4621610</v>
      </c>
      <c r="J32" s="79">
        <v>-1573107</v>
      </c>
      <c r="K32" s="79">
        <v>0</v>
      </c>
      <c r="L32" s="79">
        <v>0</v>
      </c>
      <c r="M32" s="79">
        <v>0</v>
      </c>
      <c r="N32" s="79">
        <v>-6410</v>
      </c>
      <c r="O32" s="79">
        <v>-991990</v>
      </c>
      <c r="P32" s="79">
        <v>0</v>
      </c>
      <c r="Q32" s="79">
        <v>0</v>
      </c>
      <c r="R32" s="79">
        <v>0</v>
      </c>
      <c r="S32" s="79">
        <v>0</v>
      </c>
      <c r="T32" s="79">
        <v>-57690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-51280</v>
      </c>
      <c r="AC32" s="79">
        <v>0</v>
      </c>
      <c r="AD32" s="79">
        <v>0</v>
      </c>
      <c r="AE32" s="79">
        <v>-76920</v>
      </c>
      <c r="AF32" s="79">
        <v>-7038180</v>
      </c>
      <c r="AG32" s="79">
        <v>0</v>
      </c>
      <c r="AH32" s="79">
        <v>0</v>
      </c>
      <c r="AI32" s="79">
        <v>0</v>
      </c>
      <c r="AJ32" s="79">
        <v>0</v>
      </c>
      <c r="AK32" s="79">
        <v>-934578</v>
      </c>
      <c r="AL32" s="79">
        <v>-1367253</v>
      </c>
      <c r="AM32" s="80">
        <f t="shared" si="1"/>
        <v>-17004913</v>
      </c>
      <c r="AN32" s="81">
        <f t="shared" si="2"/>
        <v>229111353</v>
      </c>
    </row>
    <row r="33" spans="1:40" ht="15.6" customHeight="1" x14ac:dyDescent="0.2">
      <c r="A33" s="42">
        <v>27</v>
      </c>
      <c r="B33" s="43" t="s">
        <v>157</v>
      </c>
      <c r="C33" s="44">
        <f>'2_State Distrib and Adjs'!BE33</f>
        <v>38100559</v>
      </c>
      <c r="D33" s="44">
        <f>-'5A3_OJJ'!P33</f>
        <v>-4980</v>
      </c>
      <c r="E33" s="44"/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-4477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-60440</v>
      </c>
      <c r="AL33" s="44">
        <v>-32234</v>
      </c>
      <c r="AM33" s="82">
        <f t="shared" si="1"/>
        <v>-102131</v>
      </c>
      <c r="AN33" s="46">
        <f t="shared" si="2"/>
        <v>37998428</v>
      </c>
    </row>
    <row r="34" spans="1:40" ht="15.6" customHeight="1" x14ac:dyDescent="0.2">
      <c r="A34" s="42">
        <v>28</v>
      </c>
      <c r="B34" s="43" t="s">
        <v>158</v>
      </c>
      <c r="C34" s="44">
        <f>'2_State Distrib and Adjs'!BE34</f>
        <v>149256883</v>
      </c>
      <c r="D34" s="44">
        <f>-'5A3_OJJ'!P34</f>
        <v>-38998</v>
      </c>
      <c r="E34" s="44"/>
      <c r="F34" s="44">
        <v>0</v>
      </c>
      <c r="G34" s="44">
        <v>0</v>
      </c>
      <c r="H34" s="44">
        <v>0</v>
      </c>
      <c r="I34" s="44">
        <v>-5867</v>
      </c>
      <c r="J34" s="44">
        <v>0</v>
      </c>
      <c r="K34" s="44">
        <v>-17601</v>
      </c>
      <c r="L34" s="44">
        <v>0</v>
      </c>
      <c r="M34" s="44">
        <v>0</v>
      </c>
      <c r="N34" s="44">
        <v>-5867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-52803</v>
      </c>
      <c r="U34" s="44">
        <v>0</v>
      </c>
      <c r="V34" s="44">
        <v>0</v>
      </c>
      <c r="W34" s="44">
        <v>-6758784</v>
      </c>
      <c r="X34" s="44">
        <v>-4840195</v>
      </c>
      <c r="Y34" s="44">
        <v>-3308988</v>
      </c>
      <c r="Z34" s="44">
        <v>0</v>
      </c>
      <c r="AA34" s="44">
        <v>0</v>
      </c>
      <c r="AB34" s="44">
        <v>0</v>
      </c>
      <c r="AC34" s="44">
        <v>-340286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-385462</v>
      </c>
      <c r="AL34" s="44">
        <v>-667994</v>
      </c>
      <c r="AM34" s="82">
        <f t="shared" si="1"/>
        <v>-16422845</v>
      </c>
      <c r="AN34" s="46">
        <f t="shared" si="2"/>
        <v>132834038</v>
      </c>
    </row>
    <row r="35" spans="1:40" ht="15.6" customHeight="1" x14ac:dyDescent="0.2">
      <c r="A35" s="42">
        <v>29</v>
      </c>
      <c r="B35" s="43" t="s">
        <v>159</v>
      </c>
      <c r="C35" s="44">
        <f>'2_State Distrib and Adjs'!BE35</f>
        <v>77493143</v>
      </c>
      <c r="D35" s="44">
        <f>-'5A3_OJJ'!P35</f>
        <v>-9117</v>
      </c>
      <c r="E35" s="44"/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-360780</v>
      </c>
      <c r="U35" s="44">
        <v>0</v>
      </c>
      <c r="V35" s="44">
        <v>0</v>
      </c>
      <c r="W35" s="44">
        <v>-51540</v>
      </c>
      <c r="X35" s="44">
        <v>-10308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-139158</v>
      </c>
      <c r="AL35" s="44">
        <v>-278316</v>
      </c>
      <c r="AM35" s="82">
        <f t="shared" si="1"/>
        <v>-849219</v>
      </c>
      <c r="AN35" s="46">
        <f t="shared" si="2"/>
        <v>76643924</v>
      </c>
    </row>
    <row r="36" spans="1:40" ht="15.6" customHeight="1" x14ac:dyDescent="0.2">
      <c r="A36" s="47">
        <v>30</v>
      </c>
      <c r="B36" s="48" t="s">
        <v>160</v>
      </c>
      <c r="C36" s="49">
        <f>'2_State Distrib and Adjs'!BE36</f>
        <v>17399224</v>
      </c>
      <c r="D36" s="49">
        <f>-'5A3_OJJ'!P36</f>
        <v>0</v>
      </c>
      <c r="E36" s="49"/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-6186</v>
      </c>
      <c r="AL36" s="49">
        <v>-54779</v>
      </c>
      <c r="AM36" s="83">
        <f t="shared" si="1"/>
        <v>-60965</v>
      </c>
      <c r="AN36" s="51">
        <f t="shared" si="2"/>
        <v>17338259</v>
      </c>
    </row>
    <row r="37" spans="1:40" ht="15.6" customHeight="1" x14ac:dyDescent="0.2">
      <c r="A37" s="77">
        <v>31</v>
      </c>
      <c r="B37" s="78" t="s">
        <v>161</v>
      </c>
      <c r="C37" s="79">
        <f>'2_State Distrib and Adjs'!BE37</f>
        <v>32241547</v>
      </c>
      <c r="D37" s="79">
        <f>-'5A3_OJJ'!P37</f>
        <v>-678</v>
      </c>
      <c r="E37" s="79"/>
      <c r="F37" s="79">
        <v>0</v>
      </c>
      <c r="G37" s="79">
        <v>-337789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-43122</v>
      </c>
      <c r="W37" s="79">
        <v>0</v>
      </c>
      <c r="X37" s="79">
        <v>0</v>
      </c>
      <c r="Y37" s="79">
        <v>0</v>
      </c>
      <c r="Z37" s="79">
        <v>0</v>
      </c>
      <c r="AA37" s="79">
        <v>-2968231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-129366</v>
      </c>
      <c r="AL37" s="79">
        <v>-90556</v>
      </c>
      <c r="AM37" s="80">
        <f t="shared" si="1"/>
        <v>-3569742</v>
      </c>
      <c r="AN37" s="81">
        <f t="shared" si="2"/>
        <v>28671805</v>
      </c>
    </row>
    <row r="38" spans="1:40" ht="15.6" customHeight="1" x14ac:dyDescent="0.2">
      <c r="A38" s="42">
        <v>32</v>
      </c>
      <c r="B38" s="43" t="s">
        <v>162</v>
      </c>
      <c r="C38" s="44">
        <f>'2_State Distrib and Adjs'!BE38</f>
        <v>176869337</v>
      </c>
      <c r="D38" s="44">
        <f>-'5A3_OJJ'!P38</f>
        <v>0</v>
      </c>
      <c r="E38" s="44"/>
      <c r="F38" s="44">
        <v>-12536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-59546</v>
      </c>
      <c r="O38" s="44">
        <v>0</v>
      </c>
      <c r="P38" s="44">
        <v>-3134</v>
      </c>
      <c r="Q38" s="44">
        <v>0</v>
      </c>
      <c r="R38" s="44">
        <v>0</v>
      </c>
      <c r="S38" s="44">
        <v>-6268</v>
      </c>
      <c r="T38" s="44">
        <v>-12536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-18804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-231289</v>
      </c>
      <c r="AL38" s="44">
        <v>-838166</v>
      </c>
      <c r="AM38" s="82">
        <f t="shared" si="1"/>
        <v>-1182279</v>
      </c>
      <c r="AN38" s="46">
        <f t="shared" si="2"/>
        <v>175687058</v>
      </c>
    </row>
    <row r="39" spans="1:40" ht="15.6" customHeight="1" x14ac:dyDescent="0.2">
      <c r="A39" s="42">
        <v>33</v>
      </c>
      <c r="B39" s="43" t="s">
        <v>163</v>
      </c>
      <c r="C39" s="44">
        <f>'2_State Distrib and Adjs'!BE39</f>
        <v>7710775</v>
      </c>
      <c r="D39" s="44">
        <f>-'5A3_OJJ'!P39</f>
        <v>-5390</v>
      </c>
      <c r="E39" s="44"/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-4218</v>
      </c>
      <c r="AL39" s="44">
        <v>-999737</v>
      </c>
      <c r="AM39" s="82">
        <f t="shared" si="1"/>
        <v>-1009345</v>
      </c>
      <c r="AN39" s="46">
        <f t="shared" si="2"/>
        <v>6701430</v>
      </c>
    </row>
    <row r="40" spans="1:40" ht="15.6" customHeight="1" x14ac:dyDescent="0.2">
      <c r="A40" s="42">
        <v>34</v>
      </c>
      <c r="B40" s="43" t="s">
        <v>164</v>
      </c>
      <c r="C40" s="44">
        <f>'2_State Distrib and Adjs'!BE40</f>
        <v>24389286</v>
      </c>
      <c r="D40" s="44">
        <f>-'5A3_OJJ'!P40</f>
        <v>-7728</v>
      </c>
      <c r="E40" s="44"/>
      <c r="F40" s="44">
        <v>0</v>
      </c>
      <c r="G40" s="44">
        <v>-12081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-126851</v>
      </c>
      <c r="AL40" s="44">
        <v>-97856</v>
      </c>
      <c r="AM40" s="82">
        <f t="shared" si="1"/>
        <v>-244516</v>
      </c>
      <c r="AN40" s="46">
        <f t="shared" si="2"/>
        <v>24144770</v>
      </c>
    </row>
    <row r="41" spans="1:40" ht="15.6" customHeight="1" x14ac:dyDescent="0.2">
      <c r="A41" s="47">
        <v>35</v>
      </c>
      <c r="B41" s="48" t="s">
        <v>165</v>
      </c>
      <c r="C41" s="49">
        <f>'2_State Distrib and Adjs'!BE41</f>
        <v>31987943</v>
      </c>
      <c r="D41" s="49">
        <f>-'5A3_OJJ'!P41</f>
        <v>-2001</v>
      </c>
      <c r="E41" s="49"/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-78152</v>
      </c>
      <c r="AL41" s="49">
        <v>-41375</v>
      </c>
      <c r="AM41" s="83">
        <f t="shared" si="1"/>
        <v>-121528</v>
      </c>
      <c r="AN41" s="51">
        <f t="shared" si="2"/>
        <v>31866415</v>
      </c>
    </row>
    <row r="42" spans="1:40" ht="15.6" customHeight="1" x14ac:dyDescent="0.2">
      <c r="A42" s="77">
        <v>36</v>
      </c>
      <c r="B42" s="78" t="s">
        <v>166</v>
      </c>
      <c r="C42" s="79">
        <f>'2_State Distrib and Adjs'!BE42</f>
        <v>211054424</v>
      </c>
      <c r="D42" s="79">
        <f>-'5A3_OJJ'!P42</f>
        <v>-119718</v>
      </c>
      <c r="E42" s="79"/>
      <c r="F42" s="79">
        <v>0</v>
      </c>
      <c r="G42" s="79">
        <v>0</v>
      </c>
      <c r="H42" s="79">
        <v>-1802565</v>
      </c>
      <c r="I42" s="79">
        <v>-1517750</v>
      </c>
      <c r="J42" s="79">
        <v>-4085018</v>
      </c>
      <c r="K42" s="79">
        <v>0</v>
      </c>
      <c r="L42" s="79">
        <v>0</v>
      </c>
      <c r="M42" s="79">
        <v>0</v>
      </c>
      <c r="N42" s="79">
        <v>-6071</v>
      </c>
      <c r="O42" s="79">
        <v>-115349</v>
      </c>
      <c r="P42" s="79">
        <v>0</v>
      </c>
      <c r="Q42" s="79">
        <v>0</v>
      </c>
      <c r="R42" s="79">
        <v>0</v>
      </c>
      <c r="S42" s="79">
        <v>0</v>
      </c>
      <c r="T42" s="79">
        <v>-24284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-582816</v>
      </c>
      <c r="AC42" s="79">
        <v>0</v>
      </c>
      <c r="AD42" s="79">
        <v>0</v>
      </c>
      <c r="AE42" s="79">
        <v>-947076</v>
      </c>
      <c r="AF42" s="79">
        <v>-752804</v>
      </c>
      <c r="AG42" s="79">
        <v>0</v>
      </c>
      <c r="AH42" s="79">
        <v>0</v>
      </c>
      <c r="AI42" s="79">
        <v>0</v>
      </c>
      <c r="AJ42" s="79">
        <v>0</v>
      </c>
      <c r="AK42" s="79">
        <v>-488786</v>
      </c>
      <c r="AL42" s="79">
        <v>-442576</v>
      </c>
      <c r="AM42" s="80">
        <f t="shared" si="1"/>
        <v>-10884813</v>
      </c>
      <c r="AN42" s="81">
        <f t="shared" si="2"/>
        <v>200169611</v>
      </c>
    </row>
    <row r="43" spans="1:40" ht="15.6" customHeight="1" x14ac:dyDescent="0.2">
      <c r="A43" s="42">
        <v>37</v>
      </c>
      <c r="B43" s="43" t="s">
        <v>167</v>
      </c>
      <c r="C43" s="44">
        <f>'2_State Distrib and Adjs'!BE43</f>
        <v>121539759</v>
      </c>
      <c r="D43" s="44">
        <f>-'5A3_OJJ'!P43</f>
        <v>-15761</v>
      </c>
      <c r="E43" s="44"/>
      <c r="F43" s="44">
        <v>0</v>
      </c>
      <c r="G43" s="44">
        <v>-31647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-4521</v>
      </c>
      <c r="P43" s="44">
        <v>0</v>
      </c>
      <c r="Q43" s="44">
        <v>-4521</v>
      </c>
      <c r="R43" s="44">
        <v>-4521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-54252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-260410</v>
      </c>
      <c r="AL43" s="44">
        <v>-362132</v>
      </c>
      <c r="AM43" s="82">
        <f t="shared" si="1"/>
        <v>-737765</v>
      </c>
      <c r="AN43" s="46">
        <f t="shared" si="2"/>
        <v>120801994</v>
      </c>
    </row>
    <row r="44" spans="1:40" ht="15.6" customHeight="1" x14ac:dyDescent="0.2">
      <c r="A44" s="42">
        <v>38</v>
      </c>
      <c r="B44" s="43" t="s">
        <v>168</v>
      </c>
      <c r="C44" s="44">
        <f>'2_State Distrib and Adjs'!BE44</f>
        <v>11888553</v>
      </c>
      <c r="D44" s="44">
        <f>-'5A3_OJJ'!P44</f>
        <v>0</v>
      </c>
      <c r="E44" s="44"/>
      <c r="F44" s="44">
        <v>0</v>
      </c>
      <c r="G44" s="44">
        <v>0</v>
      </c>
      <c r="H44" s="44">
        <v>0</v>
      </c>
      <c r="I44" s="44">
        <v>-154875</v>
      </c>
      <c r="J44" s="44">
        <v>-30975</v>
      </c>
      <c r="K44" s="44">
        <v>0</v>
      </c>
      <c r="L44" s="44">
        <v>0</v>
      </c>
      <c r="M44" s="44">
        <v>0</v>
      </c>
      <c r="N44" s="44">
        <v>0</v>
      </c>
      <c r="O44" s="44">
        <v>-10325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-10325</v>
      </c>
      <c r="AF44" s="44">
        <v>-82600</v>
      </c>
      <c r="AG44" s="44">
        <v>0</v>
      </c>
      <c r="AH44" s="44">
        <v>0</v>
      </c>
      <c r="AI44" s="44">
        <v>0</v>
      </c>
      <c r="AJ44" s="44">
        <v>0</v>
      </c>
      <c r="AK44" s="44">
        <v>-83633</v>
      </c>
      <c r="AL44" s="44">
        <v>-130095</v>
      </c>
      <c r="AM44" s="82">
        <f t="shared" si="1"/>
        <v>-502828</v>
      </c>
      <c r="AN44" s="46">
        <f t="shared" si="2"/>
        <v>11385725</v>
      </c>
    </row>
    <row r="45" spans="1:40" ht="15.6" customHeight="1" x14ac:dyDescent="0.2">
      <c r="A45" s="42">
        <v>39</v>
      </c>
      <c r="B45" s="43" t="s">
        <v>169</v>
      </c>
      <c r="C45" s="44">
        <f>'2_State Distrib and Adjs'!BE45</f>
        <v>10597472</v>
      </c>
      <c r="D45" s="44">
        <f>-'5A3_OJJ'!P45</f>
        <v>-8500</v>
      </c>
      <c r="E45" s="44"/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-58107</v>
      </c>
      <c r="O45" s="44">
        <v>0</v>
      </c>
      <c r="P45" s="44">
        <v>0</v>
      </c>
      <c r="Q45" s="44">
        <v>0</v>
      </c>
      <c r="R45" s="44">
        <v>0</v>
      </c>
      <c r="S45" s="44">
        <v>-33204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-89651</v>
      </c>
      <c r="AL45" s="44">
        <v>-149418</v>
      </c>
      <c r="AM45" s="82">
        <f t="shared" si="1"/>
        <v>-338880</v>
      </c>
      <c r="AN45" s="46">
        <f t="shared" si="2"/>
        <v>10258592</v>
      </c>
    </row>
    <row r="46" spans="1:40" ht="15.6" customHeight="1" x14ac:dyDescent="0.2">
      <c r="A46" s="47">
        <v>40</v>
      </c>
      <c r="B46" s="48" t="s">
        <v>170</v>
      </c>
      <c r="C46" s="49">
        <f>'2_State Distrib and Adjs'!BE46</f>
        <v>136726900</v>
      </c>
      <c r="D46" s="49">
        <f>-'5A3_OJJ'!P46</f>
        <v>-7855</v>
      </c>
      <c r="E46" s="49"/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-211151</v>
      </c>
      <c r="AL46" s="49">
        <v>-310262</v>
      </c>
      <c r="AM46" s="83">
        <f t="shared" si="1"/>
        <v>-529268</v>
      </c>
      <c r="AN46" s="51">
        <f t="shared" si="2"/>
        <v>136197632</v>
      </c>
    </row>
    <row r="47" spans="1:40" ht="15.6" customHeight="1" x14ac:dyDescent="0.2">
      <c r="A47" s="77">
        <v>41</v>
      </c>
      <c r="B47" s="78" t="s">
        <v>171</v>
      </c>
      <c r="C47" s="79">
        <f>'2_State Distrib and Adjs'!BE47</f>
        <v>4815009</v>
      </c>
      <c r="D47" s="79">
        <f>-'5A3_OJJ'!P47</f>
        <v>0</v>
      </c>
      <c r="E47" s="79"/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-37144</v>
      </c>
      <c r="AL47" s="79">
        <v>-24763</v>
      </c>
      <c r="AM47" s="80">
        <f t="shared" si="1"/>
        <v>-61907</v>
      </c>
      <c r="AN47" s="81">
        <f t="shared" si="2"/>
        <v>4753102</v>
      </c>
    </row>
    <row r="48" spans="1:40" ht="15.6" customHeight="1" x14ac:dyDescent="0.2">
      <c r="A48" s="42">
        <v>42</v>
      </c>
      <c r="B48" s="43" t="s">
        <v>172</v>
      </c>
      <c r="C48" s="44">
        <f>'2_State Distrib and Adjs'!BE48</f>
        <v>16616581</v>
      </c>
      <c r="D48" s="44">
        <f>-'5A3_OJJ'!P48</f>
        <v>-6975</v>
      </c>
      <c r="E48" s="44"/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-27551</v>
      </c>
      <c r="AL48" s="44">
        <v>-78061</v>
      </c>
      <c r="AM48" s="82">
        <f t="shared" si="1"/>
        <v>-112587</v>
      </c>
      <c r="AN48" s="46">
        <f t="shared" si="2"/>
        <v>16503994</v>
      </c>
    </row>
    <row r="49" spans="1:40" ht="15.6" customHeight="1" x14ac:dyDescent="0.2">
      <c r="A49" s="42">
        <v>43</v>
      </c>
      <c r="B49" s="43" t="s">
        <v>173</v>
      </c>
      <c r="C49" s="44">
        <f>'2_State Distrib and Adjs'!BE49</f>
        <v>25704609</v>
      </c>
      <c r="D49" s="44">
        <f>-'5A3_OJJ'!P49</f>
        <v>0</v>
      </c>
      <c r="E49" s="44"/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-4537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-8167</v>
      </c>
      <c r="AL49" s="44">
        <v>-44916</v>
      </c>
      <c r="AM49" s="82">
        <f t="shared" si="1"/>
        <v>-57620</v>
      </c>
      <c r="AN49" s="46">
        <f t="shared" si="2"/>
        <v>25646989</v>
      </c>
    </row>
    <row r="50" spans="1:40" ht="15.6" customHeight="1" x14ac:dyDescent="0.2">
      <c r="A50" s="42">
        <v>44</v>
      </c>
      <c r="B50" s="43" t="s">
        <v>174</v>
      </c>
      <c r="C50" s="44">
        <f>'2_State Distrib and Adjs'!BE50</f>
        <v>47471917</v>
      </c>
      <c r="D50" s="44">
        <f>-'5A3_OJJ'!P50</f>
        <v>-8541</v>
      </c>
      <c r="E50" s="44"/>
      <c r="F50" s="44">
        <v>0</v>
      </c>
      <c r="G50" s="44">
        <v>0</v>
      </c>
      <c r="H50" s="44">
        <v>-16704</v>
      </c>
      <c r="I50" s="44">
        <v>-16704</v>
      </c>
      <c r="J50" s="44">
        <v>-25056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-8352</v>
      </c>
      <c r="X50" s="44">
        <v>0</v>
      </c>
      <c r="Y50" s="44">
        <v>0</v>
      </c>
      <c r="Z50" s="44">
        <v>0</v>
      </c>
      <c r="AA50" s="44">
        <v>0</v>
      </c>
      <c r="AB50" s="44">
        <v>-4176</v>
      </c>
      <c r="AC50" s="44">
        <v>0</v>
      </c>
      <c r="AD50" s="44">
        <v>0</v>
      </c>
      <c r="AE50" s="44">
        <v>0</v>
      </c>
      <c r="AF50" s="44">
        <v>-20880</v>
      </c>
      <c r="AG50" s="44">
        <v>0</v>
      </c>
      <c r="AH50" s="44">
        <v>0</v>
      </c>
      <c r="AI50" s="44">
        <v>0</v>
      </c>
      <c r="AJ50" s="44">
        <v>0</v>
      </c>
      <c r="AK50" s="44">
        <v>-77220</v>
      </c>
      <c r="AL50" s="44">
        <v>-26309</v>
      </c>
      <c r="AM50" s="82">
        <f t="shared" si="1"/>
        <v>-203942</v>
      </c>
      <c r="AN50" s="46">
        <f t="shared" si="2"/>
        <v>47267975</v>
      </c>
    </row>
    <row r="51" spans="1:40" ht="15.6" customHeight="1" x14ac:dyDescent="0.2">
      <c r="A51" s="47">
        <v>45</v>
      </c>
      <c r="B51" s="48" t="s">
        <v>175</v>
      </c>
      <c r="C51" s="49">
        <f>'2_State Distrib and Adjs'!BE51</f>
        <v>30555563</v>
      </c>
      <c r="D51" s="49">
        <f>-'5A3_OJJ'!P51</f>
        <v>0</v>
      </c>
      <c r="E51" s="49"/>
      <c r="F51" s="49">
        <v>0</v>
      </c>
      <c r="G51" s="49">
        <v>0</v>
      </c>
      <c r="H51" s="49">
        <v>0</v>
      </c>
      <c r="I51" s="49">
        <v>-29644</v>
      </c>
      <c r="J51" s="49">
        <v>-88932</v>
      </c>
      <c r="K51" s="49">
        <v>0</v>
      </c>
      <c r="L51" s="49">
        <v>0</v>
      </c>
      <c r="M51" s="49">
        <v>0</v>
      </c>
      <c r="N51" s="49">
        <v>0</v>
      </c>
      <c r="O51" s="49">
        <v>-44466</v>
      </c>
      <c r="P51" s="49">
        <v>0</v>
      </c>
      <c r="Q51" s="49">
        <v>0</v>
      </c>
      <c r="R51" s="49">
        <v>0</v>
      </c>
      <c r="S51" s="49">
        <v>0</v>
      </c>
      <c r="T51" s="49">
        <v>-59288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-14822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-306815</v>
      </c>
      <c r="AL51" s="49">
        <v>-200097</v>
      </c>
      <c r="AM51" s="83">
        <f t="shared" si="1"/>
        <v>-744064</v>
      </c>
      <c r="AN51" s="51">
        <f t="shared" si="2"/>
        <v>29811499</v>
      </c>
    </row>
    <row r="52" spans="1:40" ht="15.6" customHeight="1" x14ac:dyDescent="0.2">
      <c r="A52" s="77">
        <v>46</v>
      </c>
      <c r="B52" s="78" t="s">
        <v>176</v>
      </c>
      <c r="C52" s="79">
        <f>'2_State Distrib and Adjs'!BE52</f>
        <v>9971619</v>
      </c>
      <c r="D52" s="79">
        <f>-'5A3_OJJ'!P52</f>
        <v>0</v>
      </c>
      <c r="E52" s="79"/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-2795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0</v>
      </c>
      <c r="AK52" s="79">
        <v>-10062</v>
      </c>
      <c r="AL52" s="79">
        <v>-25155</v>
      </c>
      <c r="AM52" s="80">
        <f t="shared" si="1"/>
        <v>-38012</v>
      </c>
      <c r="AN52" s="81">
        <f t="shared" si="2"/>
        <v>9933607</v>
      </c>
    </row>
    <row r="53" spans="1:40" ht="15.6" customHeight="1" x14ac:dyDescent="0.2">
      <c r="A53" s="42">
        <v>47</v>
      </c>
      <c r="B53" s="43" t="s">
        <v>177</v>
      </c>
      <c r="C53" s="44">
        <f>'2_State Distrib and Adjs'!BE53</f>
        <v>10850640</v>
      </c>
      <c r="D53" s="44">
        <f>-'5A3_OJJ'!P53</f>
        <v>0</v>
      </c>
      <c r="E53" s="44"/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-55850</v>
      </c>
      <c r="AL53" s="44">
        <v>-97738</v>
      </c>
      <c r="AM53" s="82">
        <f t="shared" si="1"/>
        <v>-153588</v>
      </c>
      <c r="AN53" s="46">
        <f t="shared" si="2"/>
        <v>10697052</v>
      </c>
    </row>
    <row r="54" spans="1:40" ht="15.6" customHeight="1" x14ac:dyDescent="0.2">
      <c r="A54" s="42">
        <v>48</v>
      </c>
      <c r="B54" s="43" t="s">
        <v>178</v>
      </c>
      <c r="C54" s="44">
        <f>'2_State Distrib and Adjs'!BE54</f>
        <v>28513556</v>
      </c>
      <c r="D54" s="44">
        <f>-'5A3_OJJ'!P54</f>
        <v>-2721</v>
      </c>
      <c r="E54" s="44"/>
      <c r="F54" s="44">
        <v>0</v>
      </c>
      <c r="G54" s="44">
        <v>0</v>
      </c>
      <c r="H54" s="44">
        <v>-8158</v>
      </c>
      <c r="I54" s="44">
        <v>0</v>
      </c>
      <c r="J54" s="44">
        <v>-16316</v>
      </c>
      <c r="K54" s="44">
        <v>0</v>
      </c>
      <c r="L54" s="44">
        <v>0</v>
      </c>
      <c r="M54" s="44">
        <v>0</v>
      </c>
      <c r="N54" s="44">
        <v>0</v>
      </c>
      <c r="O54" s="44">
        <v>-16316</v>
      </c>
      <c r="P54" s="44">
        <v>0</v>
      </c>
      <c r="Q54" s="44">
        <v>0</v>
      </c>
      <c r="R54" s="44">
        <v>0</v>
      </c>
      <c r="S54" s="44">
        <v>0</v>
      </c>
      <c r="T54" s="44">
        <v>-16316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-8158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-146844</v>
      </c>
      <c r="AL54" s="44">
        <v>-374452</v>
      </c>
      <c r="AM54" s="82">
        <f t="shared" si="1"/>
        <v>-589281</v>
      </c>
      <c r="AN54" s="46">
        <f t="shared" si="2"/>
        <v>27924275</v>
      </c>
    </row>
    <row r="55" spans="1:40" ht="15.6" customHeight="1" x14ac:dyDescent="0.2">
      <c r="A55" s="42">
        <v>49</v>
      </c>
      <c r="B55" s="43" t="s">
        <v>179</v>
      </c>
      <c r="C55" s="44">
        <f>'2_State Distrib and Adjs'!BE55</f>
        <v>77814577</v>
      </c>
      <c r="D55" s="44">
        <f>-'5A3_OJJ'!P55</f>
        <v>-12196</v>
      </c>
      <c r="E55" s="44"/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-813440</v>
      </c>
      <c r="M55" s="44">
        <v>0</v>
      </c>
      <c r="N55" s="44">
        <v>-3280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-13120</v>
      </c>
      <c r="U55" s="44">
        <v>0</v>
      </c>
      <c r="V55" s="44">
        <v>0</v>
      </c>
      <c r="W55" s="44">
        <v>-26240</v>
      </c>
      <c r="X55" s="44">
        <v>-314880</v>
      </c>
      <c r="Y55" s="44">
        <v>-68880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-721600</v>
      </c>
      <c r="AK55" s="44">
        <v>-233208</v>
      </c>
      <c r="AL55" s="44">
        <v>-250920</v>
      </c>
      <c r="AM55" s="82">
        <f t="shared" si="1"/>
        <v>-2457764</v>
      </c>
      <c r="AN55" s="46">
        <f t="shared" si="2"/>
        <v>75356813</v>
      </c>
    </row>
    <row r="56" spans="1:40" ht="15.6" customHeight="1" x14ac:dyDescent="0.2">
      <c r="A56" s="47">
        <v>50</v>
      </c>
      <c r="B56" s="48" t="s">
        <v>180</v>
      </c>
      <c r="C56" s="49">
        <f>'2_State Distrib and Adjs'!BE56</f>
        <v>44017144</v>
      </c>
      <c r="D56" s="49">
        <f>-'5A3_OJJ'!P56</f>
        <v>-1979</v>
      </c>
      <c r="E56" s="49"/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-162680</v>
      </c>
      <c r="U56" s="49">
        <v>0</v>
      </c>
      <c r="V56" s="49">
        <v>0</v>
      </c>
      <c r="W56" s="49">
        <v>-268422</v>
      </c>
      <c r="X56" s="49">
        <v>-178948</v>
      </c>
      <c r="Y56" s="49">
        <v>-101675</v>
      </c>
      <c r="Z56" s="49">
        <v>0</v>
      </c>
      <c r="AA56" s="49">
        <v>0</v>
      </c>
      <c r="AB56" s="49">
        <v>0</v>
      </c>
      <c r="AC56" s="49">
        <v>-12201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-87847</v>
      </c>
      <c r="AL56" s="49">
        <v>-65885</v>
      </c>
      <c r="AM56" s="83">
        <f t="shared" si="1"/>
        <v>-879637</v>
      </c>
      <c r="AN56" s="51">
        <f t="shared" si="2"/>
        <v>43137507</v>
      </c>
    </row>
    <row r="57" spans="1:40" ht="15.6" customHeight="1" x14ac:dyDescent="0.2">
      <c r="A57" s="77">
        <v>51</v>
      </c>
      <c r="B57" s="78" t="s">
        <v>181</v>
      </c>
      <c r="C57" s="79">
        <f>'2_State Distrib and Adjs'!BE57</f>
        <v>47845686</v>
      </c>
      <c r="D57" s="79">
        <f>-'5A3_OJJ'!P57</f>
        <v>-3289</v>
      </c>
      <c r="E57" s="79"/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79">
        <v>0</v>
      </c>
      <c r="T57" s="79">
        <v>-48650</v>
      </c>
      <c r="U57" s="79">
        <v>0</v>
      </c>
      <c r="V57" s="79">
        <v>0</v>
      </c>
      <c r="W57" s="79">
        <v>-4865</v>
      </c>
      <c r="X57" s="79">
        <v>0</v>
      </c>
      <c r="Y57" s="79">
        <v>-4865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79">
        <v>0</v>
      </c>
      <c r="AI57" s="79">
        <v>0</v>
      </c>
      <c r="AJ57" s="79">
        <v>0</v>
      </c>
      <c r="AK57" s="79">
        <v>-56921</v>
      </c>
      <c r="AL57" s="79">
        <v>-96327</v>
      </c>
      <c r="AM57" s="80">
        <f t="shared" si="1"/>
        <v>-214917</v>
      </c>
      <c r="AN57" s="81">
        <f t="shared" si="2"/>
        <v>47630769</v>
      </c>
    </row>
    <row r="58" spans="1:40" ht="15.6" customHeight="1" x14ac:dyDescent="0.2">
      <c r="A58" s="42">
        <v>52</v>
      </c>
      <c r="B58" s="43" t="s">
        <v>182</v>
      </c>
      <c r="C58" s="44">
        <f>'2_State Distrib and Adjs'!BE58</f>
        <v>222361978</v>
      </c>
      <c r="D58" s="44">
        <f>-'5A3_OJJ'!P58</f>
        <v>-16428</v>
      </c>
      <c r="E58" s="44"/>
      <c r="F58" s="44">
        <v>0</v>
      </c>
      <c r="G58" s="44">
        <v>0</v>
      </c>
      <c r="H58" s="44">
        <v>0</v>
      </c>
      <c r="I58" s="44">
        <v>-28200</v>
      </c>
      <c r="J58" s="44">
        <v>-91650</v>
      </c>
      <c r="K58" s="44">
        <v>0</v>
      </c>
      <c r="L58" s="44">
        <v>0</v>
      </c>
      <c r="M58" s="44">
        <v>0</v>
      </c>
      <c r="N58" s="44">
        <v>-21150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-14100</v>
      </c>
      <c r="U58" s="44">
        <v>0</v>
      </c>
      <c r="V58" s="44">
        <v>0</v>
      </c>
      <c r="W58" s="44">
        <v>-7050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-7050</v>
      </c>
      <c r="AF58" s="44">
        <v>-14100</v>
      </c>
      <c r="AG58" s="44">
        <v>0</v>
      </c>
      <c r="AH58" s="44">
        <v>0</v>
      </c>
      <c r="AI58" s="44">
        <v>0</v>
      </c>
      <c r="AJ58" s="44">
        <v>0</v>
      </c>
      <c r="AK58" s="44">
        <v>-809417</v>
      </c>
      <c r="AL58" s="44">
        <v>-2272369</v>
      </c>
      <c r="AM58" s="82">
        <f t="shared" si="1"/>
        <v>-3281514</v>
      </c>
      <c r="AN58" s="46">
        <f t="shared" si="2"/>
        <v>219080464</v>
      </c>
    </row>
    <row r="59" spans="1:40" ht="15.6" customHeight="1" x14ac:dyDescent="0.2">
      <c r="A59" s="42">
        <v>53</v>
      </c>
      <c r="B59" s="43" t="s">
        <v>183</v>
      </c>
      <c r="C59" s="44">
        <f>'2_State Distrib and Adjs'!BE59</f>
        <v>122198427</v>
      </c>
      <c r="D59" s="44">
        <f>-'5A3_OJJ'!P59</f>
        <v>-7280</v>
      </c>
      <c r="E59" s="44"/>
      <c r="F59" s="44">
        <v>-3046</v>
      </c>
      <c r="G59" s="44">
        <v>0</v>
      </c>
      <c r="H59" s="44">
        <v>0</v>
      </c>
      <c r="I59" s="44">
        <v>-3046</v>
      </c>
      <c r="J59" s="44">
        <v>-3046</v>
      </c>
      <c r="K59" s="44">
        <v>0</v>
      </c>
      <c r="L59" s="44">
        <v>0</v>
      </c>
      <c r="M59" s="44">
        <v>0</v>
      </c>
      <c r="N59" s="44">
        <v>-15230</v>
      </c>
      <c r="O59" s="44">
        <v>-3046</v>
      </c>
      <c r="P59" s="44">
        <v>0</v>
      </c>
      <c r="Q59" s="44">
        <v>0</v>
      </c>
      <c r="R59" s="44">
        <v>0</v>
      </c>
      <c r="S59" s="44">
        <v>0</v>
      </c>
      <c r="T59" s="44">
        <v>-6092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-208346</v>
      </c>
      <c r="AL59" s="44">
        <v>-622298</v>
      </c>
      <c r="AM59" s="82">
        <f t="shared" si="1"/>
        <v>-871430</v>
      </c>
      <c r="AN59" s="46">
        <f t="shared" si="2"/>
        <v>121326997</v>
      </c>
    </row>
    <row r="60" spans="1:40" ht="15.6" customHeight="1" x14ac:dyDescent="0.2">
      <c r="A60" s="42">
        <v>54</v>
      </c>
      <c r="B60" s="43" t="s">
        <v>184</v>
      </c>
      <c r="C60" s="44">
        <f>'2_State Distrib and Adjs'!BE60</f>
        <v>2221902</v>
      </c>
      <c r="D60" s="44">
        <f>-'5A3_OJJ'!P60</f>
        <v>-5255</v>
      </c>
      <c r="E60" s="44"/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-364208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-6304</v>
      </c>
      <c r="AL60" s="44">
        <v>-44125</v>
      </c>
      <c r="AM60" s="82">
        <f t="shared" si="1"/>
        <v>-419892</v>
      </c>
      <c r="AN60" s="46">
        <f t="shared" si="2"/>
        <v>1802010</v>
      </c>
    </row>
    <row r="61" spans="1:40" ht="15.6" customHeight="1" x14ac:dyDescent="0.2">
      <c r="A61" s="47">
        <v>55</v>
      </c>
      <c r="B61" s="48" t="s">
        <v>185</v>
      </c>
      <c r="C61" s="49">
        <f>'2_State Distrib and Adjs'!BE61</f>
        <v>93799724</v>
      </c>
      <c r="D61" s="49">
        <f>-'5A3_OJJ'!P61</f>
        <v>-21896</v>
      </c>
      <c r="E61" s="49"/>
      <c r="F61" s="49">
        <v>0</v>
      </c>
      <c r="G61" s="49">
        <v>0</v>
      </c>
      <c r="H61" s="49">
        <v>-4080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-326400</v>
      </c>
      <c r="U61" s="49">
        <v>0</v>
      </c>
      <c r="V61" s="49">
        <v>0</v>
      </c>
      <c r="W61" s="49">
        <v>-44880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-284626</v>
      </c>
      <c r="AL61" s="49">
        <v>-470016</v>
      </c>
      <c r="AM61" s="83">
        <f t="shared" si="1"/>
        <v>-1151898</v>
      </c>
      <c r="AN61" s="51">
        <f t="shared" si="2"/>
        <v>92647826</v>
      </c>
    </row>
    <row r="62" spans="1:40" ht="15.6" customHeight="1" x14ac:dyDescent="0.2">
      <c r="A62" s="77">
        <v>56</v>
      </c>
      <c r="B62" s="78" t="s">
        <v>186</v>
      </c>
      <c r="C62" s="79">
        <f>'2_State Distrib and Adjs'!BE62</f>
        <v>13721456</v>
      </c>
      <c r="D62" s="79">
        <f>-'5A3_OJJ'!P62</f>
        <v>-862</v>
      </c>
      <c r="E62" s="79"/>
      <c r="F62" s="79">
        <v>0</v>
      </c>
      <c r="G62" s="79">
        <v>-3946672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  <c r="N62" s="79">
        <v>0</v>
      </c>
      <c r="O62" s="79">
        <v>0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9">
        <v>-592906</v>
      </c>
      <c r="W62" s="79">
        <v>0</v>
      </c>
      <c r="X62" s="79">
        <v>0</v>
      </c>
      <c r="Y62" s="79">
        <v>0</v>
      </c>
      <c r="Z62" s="79">
        <v>0</v>
      </c>
      <c r="AA62" s="79">
        <v>-199144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79">
        <v>0</v>
      </c>
      <c r="AJ62" s="79">
        <v>0</v>
      </c>
      <c r="AK62" s="79">
        <v>-48881</v>
      </c>
      <c r="AL62" s="79">
        <v>-36661</v>
      </c>
      <c r="AM62" s="80">
        <f t="shared" si="1"/>
        <v>-4825126</v>
      </c>
      <c r="AN62" s="81">
        <f t="shared" si="2"/>
        <v>8896330</v>
      </c>
    </row>
    <row r="63" spans="1:40" ht="15.6" customHeight="1" x14ac:dyDescent="0.2">
      <c r="A63" s="42">
        <v>57</v>
      </c>
      <c r="B63" s="43" t="s">
        <v>187</v>
      </c>
      <c r="C63" s="44">
        <f>'2_State Distrib and Adjs'!BE63</f>
        <v>60170789</v>
      </c>
      <c r="D63" s="44">
        <f>-'5A3_OJJ'!P63</f>
        <v>-3066</v>
      </c>
      <c r="E63" s="44"/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-90432</v>
      </c>
      <c r="X63" s="44">
        <v>-5652</v>
      </c>
      <c r="Y63" s="44">
        <v>0</v>
      </c>
      <c r="Z63" s="44">
        <v>0</v>
      </c>
      <c r="AA63" s="44">
        <v>0</v>
      </c>
      <c r="AB63" s="44">
        <v>0</v>
      </c>
      <c r="AC63" s="44">
        <v>-2826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-536940</v>
      </c>
      <c r="AJ63" s="44">
        <v>0</v>
      </c>
      <c r="AK63" s="44">
        <v>-58498</v>
      </c>
      <c r="AL63" s="44">
        <v>-35608</v>
      </c>
      <c r="AM63" s="82">
        <f t="shared" si="1"/>
        <v>-733022</v>
      </c>
      <c r="AN63" s="46">
        <f t="shared" si="2"/>
        <v>59437767</v>
      </c>
    </row>
    <row r="64" spans="1:40" ht="15.6" customHeight="1" x14ac:dyDescent="0.2">
      <c r="A64" s="42">
        <v>58</v>
      </c>
      <c r="B64" s="43" t="s">
        <v>188</v>
      </c>
      <c r="C64" s="44">
        <f>'2_State Distrib and Adjs'!BE64</f>
        <v>55104071</v>
      </c>
      <c r="D64" s="44">
        <f>-'5A3_OJJ'!P64</f>
        <v>-2809</v>
      </c>
      <c r="E64" s="44"/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-75553</v>
      </c>
      <c r="AL64" s="44">
        <v>-51181</v>
      </c>
      <c r="AM64" s="82">
        <f t="shared" si="1"/>
        <v>-129543</v>
      </c>
      <c r="AN64" s="46">
        <f t="shared" si="2"/>
        <v>54974528</v>
      </c>
    </row>
    <row r="65" spans="1:40" ht="15.6" customHeight="1" x14ac:dyDescent="0.2">
      <c r="A65" s="42">
        <v>59</v>
      </c>
      <c r="B65" s="43" t="s">
        <v>189</v>
      </c>
      <c r="C65" s="44">
        <f>'2_State Distrib and Adjs'!BE65</f>
        <v>37227648</v>
      </c>
      <c r="D65" s="44">
        <f>-'5A3_OJJ'!P65</f>
        <v>-449</v>
      </c>
      <c r="E65" s="44"/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-32322</v>
      </c>
      <c r="AL65" s="44">
        <v>-69363</v>
      </c>
      <c r="AM65" s="82">
        <f t="shared" si="1"/>
        <v>-102134</v>
      </c>
      <c r="AN65" s="46">
        <f t="shared" si="2"/>
        <v>37125514</v>
      </c>
    </row>
    <row r="66" spans="1:40" ht="15.6" customHeight="1" x14ac:dyDescent="0.2">
      <c r="A66" s="47">
        <v>60</v>
      </c>
      <c r="B66" s="48" t="s">
        <v>190</v>
      </c>
      <c r="C66" s="49">
        <f>'2_State Distrib and Adjs'!BE66</f>
        <v>36802044</v>
      </c>
      <c r="D66" s="49">
        <f>-'5A3_OJJ'!P66</f>
        <v>-1507</v>
      </c>
      <c r="E66" s="49"/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-4326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-27254</v>
      </c>
      <c r="AL66" s="49">
        <v>-112909</v>
      </c>
      <c r="AM66" s="83">
        <f t="shared" si="1"/>
        <v>-145996</v>
      </c>
      <c r="AN66" s="51">
        <f t="shared" si="2"/>
        <v>36656048</v>
      </c>
    </row>
    <row r="67" spans="1:40" ht="15.6" customHeight="1" x14ac:dyDescent="0.2">
      <c r="A67" s="77">
        <v>61</v>
      </c>
      <c r="B67" s="78" t="s">
        <v>191</v>
      </c>
      <c r="C67" s="79">
        <f>'2_State Distrib and Adjs'!BE67</f>
        <v>16488848</v>
      </c>
      <c r="D67" s="79">
        <f>-'5A3_OJJ'!P67</f>
        <v>-6380</v>
      </c>
      <c r="E67" s="79"/>
      <c r="F67" s="79">
        <v>-22296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-144924</v>
      </c>
      <c r="O67" s="79">
        <v>0</v>
      </c>
      <c r="P67" s="79">
        <v>-11148</v>
      </c>
      <c r="Q67" s="79">
        <v>0</v>
      </c>
      <c r="R67" s="79">
        <v>0</v>
      </c>
      <c r="S67" s="79">
        <v>-55740</v>
      </c>
      <c r="T67" s="79">
        <v>-568548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-11148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0</v>
      </c>
      <c r="AI67" s="79">
        <v>0</v>
      </c>
      <c r="AJ67" s="79">
        <v>0</v>
      </c>
      <c r="AK67" s="79">
        <v>-105487</v>
      </c>
      <c r="AL67" s="79">
        <v>-270896</v>
      </c>
      <c r="AM67" s="80">
        <f t="shared" si="1"/>
        <v>-1196567</v>
      </c>
      <c r="AN67" s="81">
        <f t="shared" si="2"/>
        <v>15292281</v>
      </c>
    </row>
    <row r="68" spans="1:40" ht="15.6" customHeight="1" x14ac:dyDescent="0.2">
      <c r="A68" s="42">
        <v>62</v>
      </c>
      <c r="B68" s="43" t="s">
        <v>192</v>
      </c>
      <c r="C68" s="44">
        <f>'2_State Distrib and Adjs'!BE68</f>
        <v>13089983</v>
      </c>
      <c r="D68" s="44">
        <f>-'5A3_OJJ'!P68</f>
        <v>-2933</v>
      </c>
      <c r="E68" s="44"/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-6173</v>
      </c>
      <c r="AL68" s="44">
        <v>-36072</v>
      </c>
      <c r="AM68" s="82">
        <f t="shared" si="1"/>
        <v>-45178</v>
      </c>
      <c r="AN68" s="46">
        <f t="shared" si="2"/>
        <v>13044805</v>
      </c>
    </row>
    <row r="69" spans="1:40" ht="15.6" customHeight="1" x14ac:dyDescent="0.2">
      <c r="A69" s="42">
        <v>63</v>
      </c>
      <c r="B69" s="43" t="s">
        <v>193</v>
      </c>
      <c r="C69" s="44">
        <f>'2_State Distrib and Adjs'!BE69</f>
        <v>8955909</v>
      </c>
      <c r="D69" s="44">
        <f>-'5A3_OJJ'!P69</f>
        <v>-3130</v>
      </c>
      <c r="E69" s="44"/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-36447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-87473</v>
      </c>
      <c r="AL69" s="44">
        <v>-87473</v>
      </c>
      <c r="AM69" s="82">
        <f t="shared" si="1"/>
        <v>-214523</v>
      </c>
      <c r="AN69" s="46">
        <f t="shared" si="2"/>
        <v>8741386</v>
      </c>
    </row>
    <row r="70" spans="1:40" ht="15.6" customHeight="1" x14ac:dyDescent="0.2">
      <c r="A70" s="42">
        <v>64</v>
      </c>
      <c r="B70" s="43" t="s">
        <v>194</v>
      </c>
      <c r="C70" s="44">
        <f>'2_State Distrib and Adjs'!BE70</f>
        <v>14136913</v>
      </c>
      <c r="D70" s="44">
        <f>-'5A3_OJJ'!P70</f>
        <v>0</v>
      </c>
      <c r="E70" s="44"/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-3422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-24638</v>
      </c>
      <c r="AL70" s="44">
        <v>-15399</v>
      </c>
      <c r="AM70" s="82">
        <f t="shared" si="1"/>
        <v>-43459</v>
      </c>
      <c r="AN70" s="46">
        <f t="shared" si="2"/>
        <v>14093454</v>
      </c>
    </row>
    <row r="71" spans="1:40" ht="15.6" customHeight="1" x14ac:dyDescent="0.2">
      <c r="A71" s="47">
        <v>65</v>
      </c>
      <c r="B71" s="48" t="s">
        <v>195</v>
      </c>
      <c r="C71" s="49">
        <f>'2_State Distrib and Adjs'!BE71</f>
        <v>49366752</v>
      </c>
      <c r="D71" s="49">
        <f>-'5A3_OJJ'!P71</f>
        <v>-4642</v>
      </c>
      <c r="E71" s="49"/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-24845</v>
      </c>
      <c r="AL71" s="49">
        <v>-19876</v>
      </c>
      <c r="AM71" s="83">
        <f t="shared" ref="AM71:AM75" si="3">SUM(D71:AL71)</f>
        <v>-49363</v>
      </c>
      <c r="AN71" s="51">
        <f t="shared" ref="AN71:AN75" si="4">SUM(C71:AL71)</f>
        <v>49317389</v>
      </c>
    </row>
    <row r="72" spans="1:40" ht="15.6" customHeight="1" x14ac:dyDescent="0.2">
      <c r="A72" s="77">
        <v>66</v>
      </c>
      <c r="B72" s="78" t="s">
        <v>196</v>
      </c>
      <c r="C72" s="79">
        <f>'2_State Distrib and Adjs'!BE72</f>
        <v>14032679</v>
      </c>
      <c r="D72" s="79">
        <f>-'5A3_OJJ'!P72</f>
        <v>0</v>
      </c>
      <c r="E72" s="79"/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79">
        <v>0</v>
      </c>
      <c r="S72" s="79">
        <v>0</v>
      </c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0</v>
      </c>
      <c r="AI72" s="79">
        <v>0</v>
      </c>
      <c r="AJ72" s="79">
        <v>0</v>
      </c>
      <c r="AK72" s="79">
        <v>-54136</v>
      </c>
      <c r="AL72" s="79">
        <v>-95779</v>
      </c>
      <c r="AM72" s="80">
        <f t="shared" si="3"/>
        <v>-149915</v>
      </c>
      <c r="AN72" s="81">
        <f t="shared" si="4"/>
        <v>13882764</v>
      </c>
    </row>
    <row r="73" spans="1:40" ht="15.6" customHeight="1" x14ac:dyDescent="0.2">
      <c r="A73" s="42">
        <v>67</v>
      </c>
      <c r="B73" s="43" t="s">
        <v>197</v>
      </c>
      <c r="C73" s="44">
        <f>'2_State Distrib and Adjs'!BE73</f>
        <v>33501583</v>
      </c>
      <c r="D73" s="44">
        <f>-'5A3_OJJ'!P73</f>
        <v>0</v>
      </c>
      <c r="E73" s="44"/>
      <c r="F73" s="44">
        <v>-21492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-42984</v>
      </c>
      <c r="O73" s="44">
        <v>0</v>
      </c>
      <c r="P73" s="44">
        <v>0</v>
      </c>
      <c r="Q73" s="44">
        <v>0</v>
      </c>
      <c r="R73" s="44">
        <v>-32238</v>
      </c>
      <c r="S73" s="44">
        <v>-85968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-48357</v>
      </c>
      <c r="AL73" s="44">
        <v>-149907</v>
      </c>
      <c r="AM73" s="82">
        <f t="shared" si="3"/>
        <v>-380946</v>
      </c>
      <c r="AN73" s="46">
        <f t="shared" si="4"/>
        <v>33120637</v>
      </c>
    </row>
    <row r="74" spans="1:40" ht="15.6" customHeight="1" x14ac:dyDescent="0.2">
      <c r="A74" s="42">
        <v>68</v>
      </c>
      <c r="B74" s="43" t="s">
        <v>198</v>
      </c>
      <c r="C74" s="44">
        <f>'2_State Distrib and Adjs'!BE74</f>
        <v>8447065</v>
      </c>
      <c r="D74" s="44">
        <f>-'5A3_OJJ'!P74</f>
        <v>-1144</v>
      </c>
      <c r="E74" s="44"/>
      <c r="F74" s="44">
        <v>-41789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-64583</v>
      </c>
      <c r="O74" s="44">
        <v>0</v>
      </c>
      <c r="P74" s="44">
        <v>-3799</v>
      </c>
      <c r="Q74" s="44">
        <v>0</v>
      </c>
      <c r="R74" s="44">
        <v>-566051</v>
      </c>
      <c r="S74" s="44">
        <v>-942152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-30392</v>
      </c>
      <c r="AA74" s="44">
        <v>0</v>
      </c>
      <c r="AB74" s="44">
        <v>0</v>
      </c>
      <c r="AC74" s="44">
        <v>0</v>
      </c>
      <c r="AD74" s="44">
        <v>-22794</v>
      </c>
      <c r="AE74" s="44">
        <v>0</v>
      </c>
      <c r="AF74" s="44">
        <v>0</v>
      </c>
      <c r="AG74" s="44">
        <v>-3799</v>
      </c>
      <c r="AH74" s="44">
        <v>0</v>
      </c>
      <c r="AI74" s="44">
        <v>0</v>
      </c>
      <c r="AJ74" s="44">
        <v>0</v>
      </c>
      <c r="AK74" s="44">
        <v>-10257</v>
      </c>
      <c r="AL74" s="44">
        <v>-30772</v>
      </c>
      <c r="AM74" s="82">
        <f t="shared" si="3"/>
        <v>-1717532</v>
      </c>
      <c r="AN74" s="46">
        <f t="shared" si="4"/>
        <v>6729533</v>
      </c>
    </row>
    <row r="75" spans="1:40" ht="15.6" customHeight="1" x14ac:dyDescent="0.2">
      <c r="A75" s="52">
        <v>69</v>
      </c>
      <c r="B75" s="53" t="s">
        <v>199</v>
      </c>
      <c r="C75" s="54">
        <f>'2_State Distrib and Adjs'!BE75</f>
        <v>33077349</v>
      </c>
      <c r="D75" s="54">
        <f>-'5A3_OJJ'!P75</f>
        <v>0</v>
      </c>
      <c r="E75" s="54"/>
      <c r="F75" s="54">
        <v>-18799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-63315</v>
      </c>
      <c r="O75" s="54">
        <v>0</v>
      </c>
      <c r="P75" s="54">
        <v>-8442</v>
      </c>
      <c r="Q75" s="54">
        <v>0</v>
      </c>
      <c r="R75" s="54">
        <v>0</v>
      </c>
      <c r="S75" s="54">
        <v>-37989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-12663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-26592</v>
      </c>
      <c r="AL75" s="54">
        <v>-60782</v>
      </c>
      <c r="AM75" s="84">
        <f t="shared" si="3"/>
        <v>-228582</v>
      </c>
      <c r="AN75" s="57">
        <f t="shared" si="4"/>
        <v>32848767</v>
      </c>
    </row>
    <row r="76" spans="1:40" ht="15.6" customHeight="1" thickBot="1" x14ac:dyDescent="0.25">
      <c r="A76" s="59"/>
      <c r="B76" s="60" t="s">
        <v>200</v>
      </c>
      <c r="C76" s="85">
        <f t="shared" ref="C76:AJ76" si="5">SUM(C7:C75)</f>
        <v>3698473573</v>
      </c>
      <c r="D76" s="85">
        <f>SUM(D7:D75)</f>
        <v>-632697</v>
      </c>
      <c r="E76" s="85">
        <f t="shared" si="5"/>
        <v>-18467091</v>
      </c>
      <c r="F76" s="85">
        <f t="shared" si="5"/>
        <v>-4586691</v>
      </c>
      <c r="G76" s="85">
        <f t="shared" si="5"/>
        <v>-4343835</v>
      </c>
      <c r="H76" s="85">
        <f t="shared" si="5"/>
        <v>-2094317</v>
      </c>
      <c r="I76" s="85">
        <f t="shared" si="5"/>
        <v>-6377696</v>
      </c>
      <c r="J76" s="85">
        <f t="shared" si="5"/>
        <v>-5914100</v>
      </c>
      <c r="K76" s="85">
        <f t="shared" si="5"/>
        <v>-6507800</v>
      </c>
      <c r="L76" s="85">
        <f t="shared" si="5"/>
        <v>-813440</v>
      </c>
      <c r="M76" s="85">
        <f t="shared" si="5"/>
        <v>-4521187</v>
      </c>
      <c r="N76" s="85">
        <f t="shared" si="5"/>
        <v>-3218961</v>
      </c>
      <c r="O76" s="85">
        <f t="shared" si="5"/>
        <v>-1186013</v>
      </c>
      <c r="P76" s="85">
        <f t="shared" si="5"/>
        <v>-5250300</v>
      </c>
      <c r="Q76" s="85">
        <f t="shared" si="5"/>
        <v>-1662897</v>
      </c>
      <c r="R76" s="85">
        <f t="shared" si="5"/>
        <v>-2366594</v>
      </c>
      <c r="S76" s="85">
        <f t="shared" si="5"/>
        <v>-2968936</v>
      </c>
      <c r="T76" s="85">
        <f t="shared" si="5"/>
        <v>-4600329</v>
      </c>
      <c r="U76" s="85">
        <f t="shared" si="5"/>
        <v>-3982447</v>
      </c>
      <c r="V76" s="85">
        <f t="shared" si="5"/>
        <v>-801879</v>
      </c>
      <c r="W76" s="85">
        <f t="shared" si="5"/>
        <v>-7743462</v>
      </c>
      <c r="X76" s="85">
        <f t="shared" si="5"/>
        <v>-5457204</v>
      </c>
      <c r="Y76" s="85">
        <f t="shared" si="5"/>
        <v>-3530077</v>
      </c>
      <c r="Z76" s="85">
        <f t="shared" si="5"/>
        <v>-5523787</v>
      </c>
      <c r="AA76" s="85">
        <f t="shared" si="5"/>
        <v>-3891533</v>
      </c>
      <c r="AB76" s="85">
        <f t="shared" si="5"/>
        <v>-661252</v>
      </c>
      <c r="AC76" s="85">
        <f t="shared" si="5"/>
        <v>-373633</v>
      </c>
      <c r="AD76" s="85">
        <f t="shared" si="5"/>
        <v>-3615618</v>
      </c>
      <c r="AE76" s="85">
        <f t="shared" si="5"/>
        <v>-1041371</v>
      </c>
      <c r="AF76" s="85">
        <f t="shared" si="5"/>
        <v>-7908564</v>
      </c>
      <c r="AG76" s="85">
        <f t="shared" si="5"/>
        <v>-1532325</v>
      </c>
      <c r="AH76" s="85">
        <f t="shared" si="5"/>
        <v>-659880</v>
      </c>
      <c r="AI76" s="85">
        <f t="shared" si="5"/>
        <v>-676884</v>
      </c>
      <c r="AJ76" s="85">
        <f t="shared" si="5"/>
        <v>-721600</v>
      </c>
      <c r="AK76" s="85">
        <f t="shared" ref="AK76:AN76" si="6">SUM(AK7:AK75)</f>
        <v>-9502455</v>
      </c>
      <c r="AL76" s="85">
        <f t="shared" si="6"/>
        <v>-17151712</v>
      </c>
      <c r="AM76" s="86">
        <f t="shared" si="6"/>
        <v>-150288567</v>
      </c>
      <c r="AN76" s="87">
        <f t="shared" si="6"/>
        <v>3548185006</v>
      </c>
    </row>
    <row r="77" spans="1:40" ht="13.5" thickTop="1" x14ac:dyDescent="0.2"/>
  </sheetData>
  <sheetProtection password="D893" sheet="1" objects="1" scenarios="1" formatCells="0" formatColumns="0" formatRows="0"/>
  <mergeCells count="8">
    <mergeCell ref="AH1:AM1"/>
    <mergeCell ref="AN1:AN2"/>
    <mergeCell ref="A1:B2"/>
    <mergeCell ref="C1:C2"/>
    <mergeCell ref="D1:I1"/>
    <mergeCell ref="J1:Q1"/>
    <mergeCell ref="R1:Y1"/>
    <mergeCell ref="Z1:AG1"/>
  </mergeCells>
  <printOptions horizontalCentered="1"/>
  <pageMargins left="0.35" right="0.35" top="0.9" bottom="0.5" header="0.3" footer="0.25"/>
  <pageSetup paperSize="5" scale="73" firstPageNumber="7" fitToWidth="0" fitToHeight="0" orientation="portrait" r:id="rId1"/>
  <headerFooter>
    <oddHeader>&amp;L&amp;"Arial,Bold"&amp;18&amp;K000000Table 2A-1: FY2021-22 Budget Letter
MFP Annual Transfer Amount July 2021</oddHeader>
    <oddFooter>&amp;R&amp;P</oddFooter>
  </headerFooter>
  <colBreaks count="4" manualBreakCount="4">
    <brk id="9" max="1048575" man="1"/>
    <brk id="17" max="1048575" man="1"/>
    <brk id="25" max="1048575" man="1"/>
    <brk id="3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Y77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4" style="1" customWidth="1"/>
    <col min="2" max="2" width="19.5703125" style="1" customWidth="1"/>
    <col min="3" max="3" width="14.85546875" style="1" customWidth="1"/>
    <col min="4" max="38" width="14" style="1" customWidth="1"/>
    <col min="39" max="40" width="15.85546875" style="1" customWidth="1"/>
    <col min="41" max="41" width="14.85546875" style="1" bestFit="1" customWidth="1"/>
    <col min="42" max="75" width="14.140625" style="1" customWidth="1"/>
    <col min="76" max="76" width="15.28515625" style="1" bestFit="1" customWidth="1"/>
    <col min="77" max="77" width="14.85546875" style="1" customWidth="1"/>
    <col min="78" max="16384" width="8.85546875" style="1"/>
  </cols>
  <sheetData>
    <row r="1" spans="1:77" s="88" customFormat="1" ht="21" customHeight="1" x14ac:dyDescent="0.2">
      <c r="A1" s="927" t="s">
        <v>201</v>
      </c>
      <c r="B1" s="927"/>
      <c r="C1" s="929" t="s">
        <v>248</v>
      </c>
      <c r="D1" s="930" t="s">
        <v>249</v>
      </c>
      <c r="E1" s="930"/>
      <c r="F1" s="930"/>
      <c r="G1" s="930"/>
      <c r="H1" s="930"/>
      <c r="I1" s="931"/>
      <c r="J1" s="928" t="s">
        <v>249</v>
      </c>
      <c r="K1" s="928"/>
      <c r="L1" s="928"/>
      <c r="M1" s="928"/>
      <c r="N1" s="928"/>
      <c r="O1" s="928"/>
      <c r="P1" s="928"/>
      <c r="Q1" s="928"/>
      <c r="R1" s="928" t="s">
        <v>249</v>
      </c>
      <c r="S1" s="928"/>
      <c r="T1" s="928"/>
      <c r="U1" s="928"/>
      <c r="V1" s="928"/>
      <c r="W1" s="928"/>
      <c r="X1" s="928"/>
      <c r="Y1" s="928"/>
      <c r="Z1" s="923" t="s">
        <v>249</v>
      </c>
      <c r="AA1" s="924"/>
      <c r="AB1" s="924"/>
      <c r="AC1" s="924"/>
      <c r="AD1" s="924"/>
      <c r="AE1" s="924"/>
      <c r="AF1" s="924"/>
      <c r="AG1" s="924"/>
      <c r="AH1" s="930" t="s">
        <v>249</v>
      </c>
      <c r="AI1" s="930"/>
      <c r="AJ1" s="930"/>
      <c r="AK1" s="930"/>
      <c r="AL1" s="930"/>
      <c r="AM1" s="931"/>
      <c r="AN1" s="926" t="s">
        <v>250</v>
      </c>
      <c r="AO1" s="935" t="s">
        <v>251</v>
      </c>
      <c r="AP1" s="932" t="s">
        <v>252</v>
      </c>
      <c r="AQ1" s="932"/>
      <c r="AR1" s="932"/>
      <c r="AS1" s="932"/>
      <c r="AT1" s="932"/>
      <c r="AU1" s="932"/>
      <c r="AV1" s="932" t="s">
        <v>252</v>
      </c>
      <c r="AW1" s="932"/>
      <c r="AX1" s="932"/>
      <c r="AY1" s="932"/>
      <c r="AZ1" s="932"/>
      <c r="BA1" s="932"/>
      <c r="BB1" s="932"/>
      <c r="BC1" s="932"/>
      <c r="BD1" s="932" t="s">
        <v>252</v>
      </c>
      <c r="BE1" s="932"/>
      <c r="BF1" s="932"/>
      <c r="BG1" s="932"/>
      <c r="BH1" s="932"/>
      <c r="BI1" s="932"/>
      <c r="BJ1" s="932"/>
      <c r="BK1" s="932"/>
      <c r="BL1" s="932" t="s">
        <v>252</v>
      </c>
      <c r="BM1" s="932"/>
      <c r="BN1" s="932"/>
      <c r="BO1" s="932"/>
      <c r="BP1" s="932"/>
      <c r="BQ1" s="932"/>
      <c r="BR1" s="932"/>
      <c r="BS1" s="932" t="s">
        <v>252</v>
      </c>
      <c r="BT1" s="932"/>
      <c r="BU1" s="932"/>
      <c r="BV1" s="932"/>
      <c r="BW1" s="932"/>
      <c r="BX1" s="933" t="s">
        <v>253</v>
      </c>
      <c r="BY1" s="934" t="s">
        <v>254</v>
      </c>
    </row>
    <row r="2" spans="1:77" ht="89.25" customHeight="1" x14ac:dyDescent="0.2">
      <c r="A2" s="927"/>
      <c r="B2" s="927"/>
      <c r="C2" s="929"/>
      <c r="D2" s="71" t="s">
        <v>205</v>
      </c>
      <c r="E2" s="71" t="s">
        <v>27</v>
      </c>
      <c r="F2" s="72" t="s">
        <v>28</v>
      </c>
      <c r="G2" s="72" t="s">
        <v>29</v>
      </c>
      <c r="H2" s="72" t="s">
        <v>30</v>
      </c>
      <c r="I2" s="72" t="s">
        <v>31</v>
      </c>
      <c r="J2" s="72" t="s">
        <v>32</v>
      </c>
      <c r="K2" s="72" t="s">
        <v>33</v>
      </c>
      <c r="L2" s="72" t="s">
        <v>34</v>
      </c>
      <c r="M2" s="72" t="s">
        <v>35</v>
      </c>
      <c r="N2" s="72" t="s">
        <v>36</v>
      </c>
      <c r="O2" s="72" t="s">
        <v>37</v>
      </c>
      <c r="P2" s="72" t="s">
        <v>38</v>
      </c>
      <c r="Q2" s="72" t="s">
        <v>39</v>
      </c>
      <c r="R2" s="72" t="s">
        <v>40</v>
      </c>
      <c r="S2" s="72" t="s">
        <v>41</v>
      </c>
      <c r="T2" s="72" t="s">
        <v>42</v>
      </c>
      <c r="U2" s="72" t="s">
        <v>43</v>
      </c>
      <c r="V2" s="72" t="s">
        <v>44</v>
      </c>
      <c r="W2" s="72" t="s">
        <v>45</v>
      </c>
      <c r="X2" s="72" t="s">
        <v>46</v>
      </c>
      <c r="Y2" s="72" t="s">
        <v>47</v>
      </c>
      <c r="Z2" s="71" t="s">
        <v>48</v>
      </c>
      <c r="AA2" s="71" t="s">
        <v>49</v>
      </c>
      <c r="AB2" s="71" t="s">
        <v>50</v>
      </c>
      <c r="AC2" s="71" t="s">
        <v>51</v>
      </c>
      <c r="AD2" s="71" t="s">
        <v>52</v>
      </c>
      <c r="AE2" s="71" t="s">
        <v>53</v>
      </c>
      <c r="AF2" s="71" t="s">
        <v>54</v>
      </c>
      <c r="AG2" s="71" t="s">
        <v>206</v>
      </c>
      <c r="AH2" s="71" t="s">
        <v>56</v>
      </c>
      <c r="AI2" s="71" t="s">
        <v>207</v>
      </c>
      <c r="AJ2" s="71" t="s">
        <v>208</v>
      </c>
      <c r="AK2" s="72" t="s">
        <v>57</v>
      </c>
      <c r="AL2" s="72" t="s">
        <v>58</v>
      </c>
      <c r="AM2" s="71" t="s">
        <v>255</v>
      </c>
      <c r="AN2" s="926"/>
      <c r="AO2" s="935"/>
      <c r="AP2" s="72" t="s">
        <v>256</v>
      </c>
      <c r="AQ2" s="89" t="s">
        <v>28</v>
      </c>
      <c r="AR2" s="89" t="s">
        <v>29</v>
      </c>
      <c r="AS2" s="89" t="s">
        <v>30</v>
      </c>
      <c r="AT2" s="89" t="s">
        <v>31</v>
      </c>
      <c r="AU2" s="89" t="s">
        <v>32</v>
      </c>
      <c r="AV2" s="89" t="s">
        <v>33</v>
      </c>
      <c r="AW2" s="89" t="s">
        <v>34</v>
      </c>
      <c r="AX2" s="89" t="s">
        <v>35</v>
      </c>
      <c r="AY2" s="89" t="s">
        <v>36</v>
      </c>
      <c r="AZ2" s="89" t="s">
        <v>37</v>
      </c>
      <c r="BA2" s="89" t="s">
        <v>38</v>
      </c>
      <c r="BB2" s="89" t="s">
        <v>39</v>
      </c>
      <c r="BC2" s="89" t="s">
        <v>40</v>
      </c>
      <c r="BD2" s="89" t="s">
        <v>41</v>
      </c>
      <c r="BE2" s="89" t="s">
        <v>42</v>
      </c>
      <c r="BF2" s="89" t="s">
        <v>43</v>
      </c>
      <c r="BG2" s="89" t="s">
        <v>44</v>
      </c>
      <c r="BH2" s="89" t="s">
        <v>45</v>
      </c>
      <c r="BI2" s="89" t="s">
        <v>46</v>
      </c>
      <c r="BJ2" s="89" t="s">
        <v>47</v>
      </c>
      <c r="BK2" s="90" t="s">
        <v>48</v>
      </c>
      <c r="BL2" s="71" t="s">
        <v>49</v>
      </c>
      <c r="BM2" s="71" t="s">
        <v>257</v>
      </c>
      <c r="BN2" s="71" t="s">
        <v>51</v>
      </c>
      <c r="BO2" s="71" t="s">
        <v>52</v>
      </c>
      <c r="BP2" s="71" t="s">
        <v>53</v>
      </c>
      <c r="BQ2" s="71" t="s">
        <v>54</v>
      </c>
      <c r="BR2" s="71" t="s">
        <v>206</v>
      </c>
      <c r="BS2" s="71" t="s">
        <v>56</v>
      </c>
      <c r="BT2" s="71" t="s">
        <v>207</v>
      </c>
      <c r="BU2" s="71" t="s">
        <v>208</v>
      </c>
      <c r="BV2" s="89" t="s">
        <v>57</v>
      </c>
      <c r="BW2" s="89" t="s">
        <v>58</v>
      </c>
      <c r="BX2" s="933"/>
      <c r="BY2" s="934"/>
    </row>
    <row r="3" spans="1:77" hidden="1" x14ac:dyDescent="0.2">
      <c r="A3" s="73"/>
      <c r="B3" s="73"/>
      <c r="C3" s="91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72"/>
      <c r="AM3" s="71"/>
      <c r="AN3" s="74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90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89"/>
      <c r="BW3" s="89"/>
      <c r="BX3" s="89"/>
      <c r="BY3" s="92"/>
    </row>
    <row r="4" spans="1:77" s="75" customFormat="1" ht="13.5" customHeight="1" x14ac:dyDescent="0.2">
      <c r="A4" s="25"/>
      <c r="B4" s="26"/>
      <c r="C4" s="27">
        <v>1</v>
      </c>
      <c r="D4" s="27">
        <f>C4+1</f>
        <v>2</v>
      </c>
      <c r="E4" s="27">
        <f>D4+1</f>
        <v>3</v>
      </c>
      <c r="F4" s="27">
        <f>E4+1</f>
        <v>4</v>
      </c>
      <c r="G4" s="27">
        <f>F4+1</f>
        <v>5</v>
      </c>
      <c r="H4" s="27">
        <f t="shared" ref="H4:BS4" si="0">G4+1</f>
        <v>6</v>
      </c>
      <c r="I4" s="27">
        <f t="shared" si="0"/>
        <v>7</v>
      </c>
      <c r="J4" s="27">
        <f t="shared" si="0"/>
        <v>8</v>
      </c>
      <c r="K4" s="27">
        <f t="shared" si="0"/>
        <v>9</v>
      </c>
      <c r="L4" s="27">
        <f t="shared" si="0"/>
        <v>10</v>
      </c>
      <c r="M4" s="27">
        <f t="shared" si="0"/>
        <v>11</v>
      </c>
      <c r="N4" s="27">
        <f t="shared" si="0"/>
        <v>12</v>
      </c>
      <c r="O4" s="27">
        <f t="shared" si="0"/>
        <v>13</v>
      </c>
      <c r="P4" s="27">
        <f t="shared" si="0"/>
        <v>14</v>
      </c>
      <c r="Q4" s="27">
        <f t="shared" si="0"/>
        <v>15</v>
      </c>
      <c r="R4" s="27">
        <f t="shared" si="0"/>
        <v>16</v>
      </c>
      <c r="S4" s="27">
        <f t="shared" si="0"/>
        <v>17</v>
      </c>
      <c r="T4" s="27">
        <f t="shared" si="0"/>
        <v>18</v>
      </c>
      <c r="U4" s="27">
        <f t="shared" si="0"/>
        <v>19</v>
      </c>
      <c r="V4" s="27">
        <f t="shared" si="0"/>
        <v>20</v>
      </c>
      <c r="W4" s="27">
        <f t="shared" si="0"/>
        <v>21</v>
      </c>
      <c r="X4" s="27">
        <f t="shared" si="0"/>
        <v>22</v>
      </c>
      <c r="Y4" s="27">
        <f t="shared" si="0"/>
        <v>23</v>
      </c>
      <c r="Z4" s="27">
        <f t="shared" si="0"/>
        <v>24</v>
      </c>
      <c r="AA4" s="27">
        <f t="shared" si="0"/>
        <v>25</v>
      </c>
      <c r="AB4" s="27">
        <f t="shared" si="0"/>
        <v>26</v>
      </c>
      <c r="AC4" s="27">
        <f t="shared" si="0"/>
        <v>27</v>
      </c>
      <c r="AD4" s="27">
        <f t="shared" si="0"/>
        <v>28</v>
      </c>
      <c r="AE4" s="27">
        <f t="shared" si="0"/>
        <v>29</v>
      </c>
      <c r="AF4" s="27">
        <f t="shared" si="0"/>
        <v>30</v>
      </c>
      <c r="AG4" s="27">
        <f t="shared" si="0"/>
        <v>31</v>
      </c>
      <c r="AH4" s="27">
        <f t="shared" si="0"/>
        <v>32</v>
      </c>
      <c r="AI4" s="27">
        <f t="shared" si="0"/>
        <v>33</v>
      </c>
      <c r="AJ4" s="27">
        <f t="shared" si="0"/>
        <v>34</v>
      </c>
      <c r="AK4" s="27">
        <f t="shared" si="0"/>
        <v>35</v>
      </c>
      <c r="AL4" s="27">
        <f t="shared" si="0"/>
        <v>36</v>
      </c>
      <c r="AM4" s="27">
        <f t="shared" si="0"/>
        <v>37</v>
      </c>
      <c r="AN4" s="27">
        <f t="shared" si="0"/>
        <v>38</v>
      </c>
      <c r="AO4" s="27">
        <f t="shared" si="0"/>
        <v>39</v>
      </c>
      <c r="AP4" s="27">
        <f t="shared" si="0"/>
        <v>40</v>
      </c>
      <c r="AQ4" s="27">
        <f t="shared" si="0"/>
        <v>41</v>
      </c>
      <c r="AR4" s="27">
        <f t="shared" si="0"/>
        <v>42</v>
      </c>
      <c r="AS4" s="27">
        <f t="shared" si="0"/>
        <v>43</v>
      </c>
      <c r="AT4" s="27">
        <f t="shared" si="0"/>
        <v>44</v>
      </c>
      <c r="AU4" s="27">
        <f t="shared" si="0"/>
        <v>45</v>
      </c>
      <c r="AV4" s="27">
        <f t="shared" si="0"/>
        <v>46</v>
      </c>
      <c r="AW4" s="27">
        <f t="shared" si="0"/>
        <v>47</v>
      </c>
      <c r="AX4" s="27">
        <f t="shared" si="0"/>
        <v>48</v>
      </c>
      <c r="AY4" s="27">
        <f t="shared" si="0"/>
        <v>49</v>
      </c>
      <c r="AZ4" s="27">
        <f t="shared" si="0"/>
        <v>50</v>
      </c>
      <c r="BA4" s="27">
        <f t="shared" si="0"/>
        <v>51</v>
      </c>
      <c r="BB4" s="27">
        <f t="shared" si="0"/>
        <v>52</v>
      </c>
      <c r="BC4" s="27">
        <f t="shared" si="0"/>
        <v>53</v>
      </c>
      <c r="BD4" s="27">
        <f t="shared" si="0"/>
        <v>54</v>
      </c>
      <c r="BE4" s="27">
        <f t="shared" si="0"/>
        <v>55</v>
      </c>
      <c r="BF4" s="27">
        <f t="shared" si="0"/>
        <v>56</v>
      </c>
      <c r="BG4" s="27">
        <f t="shared" si="0"/>
        <v>57</v>
      </c>
      <c r="BH4" s="27">
        <f t="shared" si="0"/>
        <v>58</v>
      </c>
      <c r="BI4" s="27">
        <f t="shared" si="0"/>
        <v>59</v>
      </c>
      <c r="BJ4" s="27">
        <f t="shared" si="0"/>
        <v>60</v>
      </c>
      <c r="BK4" s="27">
        <f t="shared" si="0"/>
        <v>61</v>
      </c>
      <c r="BL4" s="27">
        <f t="shared" si="0"/>
        <v>62</v>
      </c>
      <c r="BM4" s="27">
        <f t="shared" si="0"/>
        <v>63</v>
      </c>
      <c r="BN4" s="27">
        <f t="shared" si="0"/>
        <v>64</v>
      </c>
      <c r="BO4" s="27">
        <f t="shared" si="0"/>
        <v>65</v>
      </c>
      <c r="BP4" s="27">
        <f t="shared" si="0"/>
        <v>66</v>
      </c>
      <c r="BQ4" s="27">
        <f t="shared" si="0"/>
        <v>67</v>
      </c>
      <c r="BR4" s="27">
        <f t="shared" si="0"/>
        <v>68</v>
      </c>
      <c r="BS4" s="27">
        <f t="shared" si="0"/>
        <v>69</v>
      </c>
      <c r="BT4" s="27">
        <f t="shared" ref="BT4:BY4" si="1">BS4+1</f>
        <v>70</v>
      </c>
      <c r="BU4" s="27">
        <f t="shared" si="1"/>
        <v>71</v>
      </c>
      <c r="BV4" s="27">
        <f t="shared" si="1"/>
        <v>72</v>
      </c>
      <c r="BW4" s="27">
        <f t="shared" si="1"/>
        <v>73</v>
      </c>
      <c r="BX4" s="27">
        <f t="shared" si="1"/>
        <v>74</v>
      </c>
      <c r="BY4" s="27">
        <f t="shared" si="1"/>
        <v>75</v>
      </c>
    </row>
    <row r="5" spans="1:77" s="35" customFormat="1" hidden="1" x14ac:dyDescent="0.2">
      <c r="A5" s="30"/>
      <c r="B5" s="30"/>
      <c r="C5" s="76" t="s">
        <v>73</v>
      </c>
      <c r="D5" s="76" t="s">
        <v>73</v>
      </c>
      <c r="E5" s="76" t="s">
        <v>73</v>
      </c>
      <c r="F5" s="76" t="s">
        <v>73</v>
      </c>
      <c r="G5" s="76" t="s">
        <v>73</v>
      </c>
      <c r="H5" s="76" t="s">
        <v>73</v>
      </c>
      <c r="I5" s="76" t="s">
        <v>73</v>
      </c>
      <c r="J5" s="76" t="s">
        <v>73</v>
      </c>
      <c r="K5" s="76" t="s">
        <v>73</v>
      </c>
      <c r="L5" s="76" t="s">
        <v>73</v>
      </c>
      <c r="M5" s="76" t="s">
        <v>73</v>
      </c>
      <c r="N5" s="76" t="s">
        <v>73</v>
      </c>
      <c r="O5" s="76" t="s">
        <v>73</v>
      </c>
      <c r="P5" s="76" t="s">
        <v>73</v>
      </c>
      <c r="Q5" s="76" t="s">
        <v>73</v>
      </c>
      <c r="R5" s="76" t="s">
        <v>73</v>
      </c>
      <c r="S5" s="76" t="s">
        <v>73</v>
      </c>
      <c r="T5" s="76" t="s">
        <v>73</v>
      </c>
      <c r="U5" s="76" t="s">
        <v>73</v>
      </c>
      <c r="V5" s="76" t="s">
        <v>73</v>
      </c>
      <c r="W5" s="76" t="s">
        <v>73</v>
      </c>
      <c r="X5" s="76" t="s">
        <v>73</v>
      </c>
      <c r="Y5" s="76" t="s">
        <v>73</v>
      </c>
      <c r="Z5" s="76" t="s">
        <v>73</v>
      </c>
      <c r="AA5" s="76" t="s">
        <v>73</v>
      </c>
      <c r="AB5" s="76" t="s">
        <v>73</v>
      </c>
      <c r="AC5" s="76" t="s">
        <v>73</v>
      </c>
      <c r="AD5" s="76" t="s">
        <v>73</v>
      </c>
      <c r="AE5" s="76" t="s">
        <v>73</v>
      </c>
      <c r="AF5" s="76" t="s">
        <v>73</v>
      </c>
      <c r="AG5" s="76" t="s">
        <v>73</v>
      </c>
      <c r="AH5" s="76" t="s">
        <v>73</v>
      </c>
      <c r="AI5" s="76"/>
      <c r="AJ5" s="76"/>
      <c r="AK5" s="76" t="s">
        <v>73</v>
      </c>
      <c r="AL5" s="76" t="s">
        <v>73</v>
      </c>
      <c r="AM5" s="76" t="s">
        <v>74</v>
      </c>
      <c r="AN5" s="76" t="s">
        <v>74</v>
      </c>
      <c r="AO5" s="93"/>
      <c r="AP5" s="31" t="s">
        <v>73</v>
      </c>
      <c r="AQ5" s="31" t="s">
        <v>73</v>
      </c>
      <c r="AR5" s="31" t="s">
        <v>73</v>
      </c>
      <c r="AS5" s="31" t="s">
        <v>73</v>
      </c>
      <c r="AT5" s="31" t="s">
        <v>73</v>
      </c>
      <c r="AU5" s="31" t="s">
        <v>73</v>
      </c>
      <c r="AV5" s="31" t="s">
        <v>73</v>
      </c>
      <c r="AW5" s="31" t="s">
        <v>73</v>
      </c>
      <c r="AX5" s="31" t="s">
        <v>73</v>
      </c>
      <c r="AY5" s="31" t="s">
        <v>73</v>
      </c>
      <c r="AZ5" s="31" t="s">
        <v>73</v>
      </c>
      <c r="BA5" s="31" t="s">
        <v>73</v>
      </c>
      <c r="BB5" s="31" t="s">
        <v>73</v>
      </c>
      <c r="BC5" s="31" t="s">
        <v>73</v>
      </c>
      <c r="BD5" s="31" t="s">
        <v>73</v>
      </c>
      <c r="BE5" s="31" t="s">
        <v>73</v>
      </c>
      <c r="BF5" s="31" t="s">
        <v>73</v>
      </c>
      <c r="BG5" s="31" t="s">
        <v>73</v>
      </c>
      <c r="BH5" s="31" t="s">
        <v>73</v>
      </c>
      <c r="BI5" s="31" t="s">
        <v>73</v>
      </c>
      <c r="BJ5" s="31" t="s">
        <v>73</v>
      </c>
      <c r="BK5" s="31" t="s">
        <v>73</v>
      </c>
      <c r="BL5" s="31" t="s">
        <v>73</v>
      </c>
      <c r="BM5" s="31" t="s">
        <v>73</v>
      </c>
      <c r="BN5" s="31" t="s">
        <v>73</v>
      </c>
      <c r="BO5" s="31" t="s">
        <v>73</v>
      </c>
      <c r="BP5" s="31" t="s">
        <v>73</v>
      </c>
      <c r="BQ5" s="31" t="s">
        <v>73</v>
      </c>
      <c r="BR5" s="76" t="s">
        <v>73</v>
      </c>
      <c r="BS5" s="27" t="e">
        <f>BR5+1</f>
        <v>#VALUE!</v>
      </c>
      <c r="BT5" s="27"/>
      <c r="BU5" s="27"/>
      <c r="BV5" s="31" t="s">
        <v>73</v>
      </c>
      <c r="BW5" s="31" t="s">
        <v>73</v>
      </c>
      <c r="BX5" s="93" t="s">
        <v>74</v>
      </c>
      <c r="BY5" s="93" t="s">
        <v>74</v>
      </c>
    </row>
    <row r="6" spans="1:77" s="96" customFormat="1" ht="13.5" customHeight="1" x14ac:dyDescent="0.2">
      <c r="A6" s="94"/>
      <c r="B6" s="94"/>
      <c r="C6" s="31" t="s">
        <v>258</v>
      </c>
      <c r="D6" s="32" t="s">
        <v>259</v>
      </c>
      <c r="E6" s="32" t="s">
        <v>260</v>
      </c>
      <c r="F6" s="32" t="s">
        <v>261</v>
      </c>
      <c r="G6" s="32" t="s">
        <v>262</v>
      </c>
      <c r="H6" s="32" t="s">
        <v>263</v>
      </c>
      <c r="I6" s="32" t="s">
        <v>264</v>
      </c>
      <c r="J6" s="32" t="s">
        <v>265</v>
      </c>
      <c r="K6" s="32" t="s">
        <v>266</v>
      </c>
      <c r="L6" s="32" t="s">
        <v>267</v>
      </c>
      <c r="M6" s="32" t="s">
        <v>268</v>
      </c>
      <c r="N6" s="32" t="s">
        <v>269</v>
      </c>
      <c r="O6" s="32" t="s">
        <v>270</v>
      </c>
      <c r="P6" s="32" t="s">
        <v>271</v>
      </c>
      <c r="Q6" s="32" t="s">
        <v>272</v>
      </c>
      <c r="R6" s="32" t="s">
        <v>273</v>
      </c>
      <c r="S6" s="32" t="s">
        <v>274</v>
      </c>
      <c r="T6" s="32" t="s">
        <v>275</v>
      </c>
      <c r="U6" s="32" t="s">
        <v>276</v>
      </c>
      <c r="V6" s="32" t="s">
        <v>277</v>
      </c>
      <c r="W6" s="32" t="s">
        <v>278</v>
      </c>
      <c r="X6" s="32" t="s">
        <v>279</v>
      </c>
      <c r="Y6" s="32" t="s">
        <v>280</v>
      </c>
      <c r="Z6" s="32" t="s">
        <v>281</v>
      </c>
      <c r="AA6" s="32" t="s">
        <v>282</v>
      </c>
      <c r="AB6" s="32" t="s">
        <v>283</v>
      </c>
      <c r="AC6" s="32" t="s">
        <v>284</v>
      </c>
      <c r="AD6" s="32" t="s">
        <v>285</v>
      </c>
      <c r="AE6" s="32" t="s">
        <v>286</v>
      </c>
      <c r="AF6" s="32" t="s">
        <v>287</v>
      </c>
      <c r="AG6" s="32" t="s">
        <v>288</v>
      </c>
      <c r="AH6" s="32" t="s">
        <v>289</v>
      </c>
      <c r="AI6" s="32" t="s">
        <v>290</v>
      </c>
      <c r="AJ6" s="32" t="s">
        <v>291</v>
      </c>
      <c r="AK6" s="32" t="s">
        <v>292</v>
      </c>
      <c r="AL6" s="32" t="s">
        <v>293</v>
      </c>
      <c r="AM6" s="31" t="s">
        <v>294</v>
      </c>
      <c r="AN6" s="31" t="s">
        <v>295</v>
      </c>
      <c r="AO6" s="95" t="s">
        <v>296</v>
      </c>
      <c r="AP6" s="32" t="s">
        <v>297</v>
      </c>
      <c r="AQ6" s="32" t="s">
        <v>298</v>
      </c>
      <c r="AR6" s="32" t="s">
        <v>299</v>
      </c>
      <c r="AS6" s="32" t="s">
        <v>300</v>
      </c>
      <c r="AT6" s="32" t="s">
        <v>301</v>
      </c>
      <c r="AU6" s="32" t="s">
        <v>302</v>
      </c>
      <c r="AV6" s="32" t="s">
        <v>303</v>
      </c>
      <c r="AW6" s="32" t="s">
        <v>304</v>
      </c>
      <c r="AX6" s="32" t="s">
        <v>305</v>
      </c>
      <c r="AY6" s="32" t="s">
        <v>306</v>
      </c>
      <c r="AZ6" s="32" t="s">
        <v>307</v>
      </c>
      <c r="BA6" s="32" t="s">
        <v>308</v>
      </c>
      <c r="BB6" s="32" t="s">
        <v>309</v>
      </c>
      <c r="BC6" s="32" t="s">
        <v>310</v>
      </c>
      <c r="BD6" s="32" t="s">
        <v>311</v>
      </c>
      <c r="BE6" s="32" t="s">
        <v>312</v>
      </c>
      <c r="BF6" s="32" t="s">
        <v>313</v>
      </c>
      <c r="BG6" s="32" t="s">
        <v>314</v>
      </c>
      <c r="BH6" s="32" t="s">
        <v>315</v>
      </c>
      <c r="BI6" s="32" t="s">
        <v>316</v>
      </c>
      <c r="BJ6" s="32" t="s">
        <v>317</v>
      </c>
      <c r="BK6" s="32" t="s">
        <v>318</v>
      </c>
      <c r="BL6" s="32" t="s">
        <v>319</v>
      </c>
      <c r="BM6" s="32" t="s">
        <v>320</v>
      </c>
      <c r="BN6" s="32" t="s">
        <v>321</v>
      </c>
      <c r="BO6" s="32" t="s">
        <v>322</v>
      </c>
      <c r="BP6" s="32" t="s">
        <v>323</v>
      </c>
      <c r="BQ6" s="32" t="s">
        <v>324</v>
      </c>
      <c r="BR6" s="32" t="s">
        <v>325</v>
      </c>
      <c r="BS6" s="32" t="s">
        <v>326</v>
      </c>
      <c r="BT6" s="32" t="s">
        <v>327</v>
      </c>
      <c r="BU6" s="32" t="s">
        <v>328</v>
      </c>
      <c r="BV6" s="32" t="s">
        <v>329</v>
      </c>
      <c r="BW6" s="32" t="s">
        <v>330</v>
      </c>
      <c r="BX6" s="76" t="s">
        <v>331</v>
      </c>
      <c r="BY6" s="31" t="s">
        <v>332</v>
      </c>
    </row>
    <row r="7" spans="1:77" s="2" customFormat="1" ht="15.75" customHeight="1" x14ac:dyDescent="0.2">
      <c r="A7" s="36">
        <v>1</v>
      </c>
      <c r="B7" s="37" t="s">
        <v>131</v>
      </c>
      <c r="C7" s="38">
        <f>'2_State Distrib and Adjs'!BA7</f>
        <v>4769399</v>
      </c>
      <c r="D7" s="38">
        <f>-'5A3_OJJ'!S7</f>
        <v>-951</v>
      </c>
      <c r="E7" s="38"/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-1489</v>
      </c>
      <c r="X7" s="38">
        <v>-5957</v>
      </c>
      <c r="Y7" s="38">
        <v>-1489</v>
      </c>
      <c r="Z7" s="38">
        <v>0</v>
      </c>
      <c r="AA7" s="38">
        <v>0</v>
      </c>
      <c r="AB7" s="38">
        <v>0</v>
      </c>
      <c r="AC7" s="38">
        <v>-496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-6032</v>
      </c>
      <c r="AL7" s="38">
        <v>-6925</v>
      </c>
      <c r="AM7" s="97">
        <f t="shared" ref="AM7:AM38" si="2">SUM(D7:AL7)</f>
        <v>-23339</v>
      </c>
      <c r="AN7" s="40">
        <f t="shared" ref="AN7:AN70" si="3">C7+AM7</f>
        <v>4746060</v>
      </c>
      <c r="AO7" s="38"/>
      <c r="AP7" s="38"/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-45</v>
      </c>
      <c r="BI7" s="38">
        <v>-179</v>
      </c>
      <c r="BJ7" s="38">
        <v>-45</v>
      </c>
      <c r="BK7" s="38">
        <v>0</v>
      </c>
      <c r="BL7" s="38">
        <v>0</v>
      </c>
      <c r="BM7" s="38">
        <v>0</v>
      </c>
      <c r="BN7" s="38">
        <v>-15</v>
      </c>
      <c r="BO7" s="38">
        <v>0</v>
      </c>
      <c r="BP7" s="38">
        <v>0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-181</v>
      </c>
      <c r="BW7" s="38">
        <v>-208</v>
      </c>
      <c r="BX7" s="38">
        <f t="shared" ref="BX7:BX70" si="4">SUM(AP7:BW7)</f>
        <v>-673</v>
      </c>
      <c r="BY7" s="40">
        <f t="shared" ref="BY7:BY70" si="5">SUM(AN7:BW7)</f>
        <v>4745387</v>
      </c>
    </row>
    <row r="8" spans="1:77" s="2" customFormat="1" ht="15.75" customHeight="1" x14ac:dyDescent="0.2">
      <c r="A8" s="36">
        <v>2</v>
      </c>
      <c r="B8" s="37" t="s">
        <v>132</v>
      </c>
      <c r="C8" s="38">
        <f>'2_State Distrib and Adjs'!BA8</f>
        <v>2509220</v>
      </c>
      <c r="D8" s="38">
        <f>-'5A3_OJJ'!S8</f>
        <v>-141</v>
      </c>
      <c r="E8" s="38"/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-294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-294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-2379</v>
      </c>
      <c r="AL8" s="38">
        <v>-7932</v>
      </c>
      <c r="AM8" s="97">
        <f t="shared" si="2"/>
        <v>-11040</v>
      </c>
      <c r="AN8" s="40">
        <f t="shared" si="3"/>
        <v>2498180</v>
      </c>
      <c r="AO8" s="38"/>
      <c r="AP8" s="38"/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-9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-9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-72</v>
      </c>
      <c r="BW8" s="38">
        <v>-239</v>
      </c>
      <c r="BX8" s="38">
        <f t="shared" si="4"/>
        <v>-329</v>
      </c>
      <c r="BY8" s="40">
        <f t="shared" si="5"/>
        <v>2497851</v>
      </c>
    </row>
    <row r="9" spans="1:77" s="2" customFormat="1" ht="15.75" customHeight="1" x14ac:dyDescent="0.2">
      <c r="A9" s="36">
        <v>3</v>
      </c>
      <c r="B9" s="37" t="s">
        <v>133</v>
      </c>
      <c r="C9" s="38">
        <f>'2_State Distrib and Adjs'!BA9</f>
        <v>9621671</v>
      </c>
      <c r="D9" s="38">
        <f>-'5A3_OJJ'!S9</f>
        <v>-187</v>
      </c>
      <c r="E9" s="38"/>
      <c r="F9" s="38">
        <v>-1779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-11269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-11862</v>
      </c>
      <c r="U9" s="38">
        <v>0</v>
      </c>
      <c r="V9" s="38">
        <v>0</v>
      </c>
      <c r="W9" s="38">
        <v>-593</v>
      </c>
      <c r="X9" s="38">
        <v>0</v>
      </c>
      <c r="Y9" s="38">
        <v>0</v>
      </c>
      <c r="Z9" s="38">
        <v>-1186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-16014</v>
      </c>
      <c r="AL9" s="38">
        <v>-58717</v>
      </c>
      <c r="AM9" s="97">
        <f t="shared" si="2"/>
        <v>-101607</v>
      </c>
      <c r="AN9" s="40">
        <f t="shared" si="3"/>
        <v>9520064</v>
      </c>
      <c r="AO9" s="38"/>
      <c r="AP9" s="38"/>
      <c r="AQ9" s="38">
        <v>-54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-339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-357</v>
      </c>
      <c r="BF9" s="38">
        <v>0</v>
      </c>
      <c r="BG9" s="38">
        <v>0</v>
      </c>
      <c r="BH9" s="38">
        <v>-18</v>
      </c>
      <c r="BI9" s="38">
        <v>0</v>
      </c>
      <c r="BJ9" s="38">
        <v>0</v>
      </c>
      <c r="BK9" s="38">
        <v>-36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-482</v>
      </c>
      <c r="BW9" s="38">
        <v>-1766</v>
      </c>
      <c r="BX9" s="38">
        <f t="shared" si="4"/>
        <v>-3052</v>
      </c>
      <c r="BY9" s="40">
        <f t="shared" si="5"/>
        <v>9517012</v>
      </c>
    </row>
    <row r="10" spans="1:77" s="2" customFormat="1" ht="15.75" customHeight="1" x14ac:dyDescent="0.2">
      <c r="A10" s="36">
        <v>4</v>
      </c>
      <c r="B10" s="37" t="s">
        <v>134</v>
      </c>
      <c r="C10" s="38">
        <f>'2_State Distrib and Adjs'!BA10</f>
        <v>1707787</v>
      </c>
      <c r="D10" s="38">
        <f>-'5A3_OJJ'!S10</f>
        <v>0</v>
      </c>
      <c r="E10" s="38"/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-3409</v>
      </c>
      <c r="U10" s="38">
        <v>0</v>
      </c>
      <c r="V10" s="38">
        <v>0</v>
      </c>
      <c r="W10" s="38">
        <v>-1136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-3068</v>
      </c>
      <c r="AL10" s="38">
        <v>-5455</v>
      </c>
      <c r="AM10" s="97">
        <f t="shared" si="2"/>
        <v>-13068</v>
      </c>
      <c r="AN10" s="40">
        <f t="shared" si="3"/>
        <v>1694719</v>
      </c>
      <c r="AO10" s="38"/>
      <c r="AP10" s="38"/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-103</v>
      </c>
      <c r="BF10" s="38">
        <v>0</v>
      </c>
      <c r="BG10" s="38">
        <v>0</v>
      </c>
      <c r="BH10" s="38">
        <v>-34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-92</v>
      </c>
      <c r="BW10" s="38">
        <v>-164</v>
      </c>
      <c r="BX10" s="38">
        <f t="shared" si="4"/>
        <v>-393</v>
      </c>
      <c r="BY10" s="40">
        <f t="shared" si="5"/>
        <v>1694326</v>
      </c>
    </row>
    <row r="11" spans="1:77" s="2" customFormat="1" ht="15.75" customHeight="1" x14ac:dyDescent="0.2">
      <c r="A11" s="47">
        <v>5</v>
      </c>
      <c r="B11" s="48" t="s">
        <v>135</v>
      </c>
      <c r="C11" s="49">
        <f>'2_State Distrib and Adjs'!BA11</f>
        <v>2676020</v>
      </c>
      <c r="D11" s="49">
        <f>-'5A3_OJJ'!S11</f>
        <v>-390</v>
      </c>
      <c r="E11" s="49"/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-54853</v>
      </c>
      <c r="AI11" s="49">
        <v>0</v>
      </c>
      <c r="AJ11" s="49">
        <v>0</v>
      </c>
      <c r="AK11" s="49">
        <v>-3939</v>
      </c>
      <c r="AL11" s="49">
        <v>-7131</v>
      </c>
      <c r="AM11" s="83">
        <f t="shared" si="2"/>
        <v>-66313</v>
      </c>
      <c r="AN11" s="51">
        <f t="shared" si="3"/>
        <v>2609707</v>
      </c>
      <c r="AO11" s="49"/>
      <c r="AP11" s="49"/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49">
        <v>0</v>
      </c>
      <c r="BS11" s="49">
        <v>-1650</v>
      </c>
      <c r="BT11" s="49">
        <v>0</v>
      </c>
      <c r="BU11" s="49">
        <v>0</v>
      </c>
      <c r="BV11" s="49">
        <v>-121</v>
      </c>
      <c r="BW11" s="49">
        <v>-214</v>
      </c>
      <c r="BX11" s="49">
        <f t="shared" si="4"/>
        <v>-1985</v>
      </c>
      <c r="BY11" s="51">
        <f t="shared" si="5"/>
        <v>2607722</v>
      </c>
    </row>
    <row r="12" spans="1:77" s="2" customFormat="1" ht="15.75" customHeight="1" x14ac:dyDescent="0.2">
      <c r="A12" s="36">
        <v>6</v>
      </c>
      <c r="B12" s="37" t="s">
        <v>136</v>
      </c>
      <c r="C12" s="38">
        <f>'2_State Distrib and Adjs'!BA12</f>
        <v>3028391</v>
      </c>
      <c r="D12" s="38">
        <f>-'5A3_OJJ'!S12</f>
        <v>-558</v>
      </c>
      <c r="E12" s="38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-804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-5791</v>
      </c>
      <c r="AL12" s="38">
        <v>-4343</v>
      </c>
      <c r="AM12" s="97">
        <f t="shared" si="2"/>
        <v>-11496</v>
      </c>
      <c r="AN12" s="40">
        <f t="shared" si="3"/>
        <v>3016895</v>
      </c>
      <c r="AO12" s="38"/>
      <c r="AP12" s="38"/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-24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-174</v>
      </c>
      <c r="BW12" s="38">
        <v>-131</v>
      </c>
      <c r="BX12" s="38">
        <f t="shared" si="4"/>
        <v>-329</v>
      </c>
      <c r="BY12" s="40">
        <f t="shared" si="5"/>
        <v>3016566</v>
      </c>
    </row>
    <row r="13" spans="1:77" s="2" customFormat="1" ht="15.75" customHeight="1" x14ac:dyDescent="0.2">
      <c r="A13" s="36">
        <v>7</v>
      </c>
      <c r="B13" s="37" t="s">
        <v>137</v>
      </c>
      <c r="C13" s="38">
        <f>'2_State Distrib and Adjs'!BA13</f>
        <v>717987</v>
      </c>
      <c r="D13" s="38">
        <f>-'5A3_OJJ'!S13</f>
        <v>0</v>
      </c>
      <c r="E13" s="38"/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-31132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-5189</v>
      </c>
      <c r="AL13" s="38">
        <v>-9340</v>
      </c>
      <c r="AM13" s="97">
        <f t="shared" si="2"/>
        <v>-45661</v>
      </c>
      <c r="AN13" s="40">
        <f t="shared" si="3"/>
        <v>672326</v>
      </c>
      <c r="AO13" s="38"/>
      <c r="AP13" s="38"/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-936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-156</v>
      </c>
      <c r="BW13" s="38">
        <v>-281</v>
      </c>
      <c r="BX13" s="38">
        <f t="shared" si="4"/>
        <v>-1373</v>
      </c>
      <c r="BY13" s="40">
        <f t="shared" si="5"/>
        <v>670953</v>
      </c>
    </row>
    <row r="14" spans="1:77" s="2" customFormat="1" ht="15.75" customHeight="1" x14ac:dyDescent="0.2">
      <c r="A14" s="36">
        <v>8</v>
      </c>
      <c r="B14" s="37" t="s">
        <v>138</v>
      </c>
      <c r="C14" s="38">
        <f>'2_State Distrib and Adjs'!BA14</f>
        <v>11261277</v>
      </c>
      <c r="D14" s="38">
        <f>-'5A3_OJJ'!S14</f>
        <v>-290</v>
      </c>
      <c r="E14" s="38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-28733</v>
      </c>
      <c r="AL14" s="38">
        <v>-17861</v>
      </c>
      <c r="AM14" s="97">
        <f t="shared" si="2"/>
        <v>-46884</v>
      </c>
      <c r="AN14" s="40">
        <f t="shared" si="3"/>
        <v>11214393</v>
      </c>
      <c r="AO14" s="38"/>
      <c r="AP14" s="38"/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-864</v>
      </c>
      <c r="BW14" s="38">
        <v>-537</v>
      </c>
      <c r="BX14" s="38">
        <f t="shared" si="4"/>
        <v>-1401</v>
      </c>
      <c r="BY14" s="40">
        <f t="shared" si="5"/>
        <v>11212992</v>
      </c>
    </row>
    <row r="15" spans="1:77" s="2" customFormat="1" ht="15.75" customHeight="1" x14ac:dyDescent="0.2">
      <c r="A15" s="36">
        <v>9</v>
      </c>
      <c r="B15" s="37" t="s">
        <v>139</v>
      </c>
      <c r="C15" s="38">
        <f>'2_State Distrib and Adjs'!BA15</f>
        <v>17124281</v>
      </c>
      <c r="D15" s="38">
        <f>-'5A3_OJJ'!S15</f>
        <v>-5646</v>
      </c>
      <c r="E15" s="38">
        <f>-'5B2_RSD LA'!AV7</f>
        <v>-403723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-58166</v>
      </c>
      <c r="AL15" s="38">
        <v>-41933</v>
      </c>
      <c r="AM15" s="97">
        <f t="shared" si="2"/>
        <v>-509468</v>
      </c>
      <c r="AN15" s="40">
        <f t="shared" si="3"/>
        <v>16614813</v>
      </c>
      <c r="AO15" s="38"/>
      <c r="AP15" s="38"/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-1749</v>
      </c>
      <c r="BW15" s="38">
        <v>-1261</v>
      </c>
      <c r="BX15" s="38">
        <f t="shared" si="4"/>
        <v>-3010</v>
      </c>
      <c r="BY15" s="40">
        <f t="shared" si="5"/>
        <v>16611803</v>
      </c>
    </row>
    <row r="16" spans="1:77" s="2" customFormat="1" ht="15.75" customHeight="1" x14ac:dyDescent="0.2">
      <c r="A16" s="47">
        <v>10</v>
      </c>
      <c r="B16" s="48" t="s">
        <v>140</v>
      </c>
      <c r="C16" s="49">
        <f>'2_State Distrib and Adjs'!BA16</f>
        <v>10352330</v>
      </c>
      <c r="D16" s="49">
        <f>-'5A3_OJJ'!S16</f>
        <v>-5355</v>
      </c>
      <c r="E16" s="49"/>
      <c r="F16" s="49">
        <v>0</v>
      </c>
      <c r="G16" s="49">
        <v>-659</v>
      </c>
      <c r="H16" s="49">
        <v>0</v>
      </c>
      <c r="I16" s="49">
        <v>0</v>
      </c>
      <c r="J16" s="49">
        <v>0</v>
      </c>
      <c r="K16" s="49">
        <v>-538028</v>
      </c>
      <c r="L16" s="49">
        <v>0</v>
      </c>
      <c r="M16" s="49">
        <v>-375169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-659</v>
      </c>
      <c r="U16" s="49">
        <v>-330745</v>
      </c>
      <c r="V16" s="49">
        <v>0</v>
      </c>
      <c r="W16" s="49">
        <v>0</v>
      </c>
      <c r="X16" s="49">
        <v>-659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-30858</v>
      </c>
      <c r="AL16" s="49">
        <v>-49253</v>
      </c>
      <c r="AM16" s="83">
        <f t="shared" si="2"/>
        <v>-1331385</v>
      </c>
      <c r="AN16" s="51">
        <f t="shared" si="3"/>
        <v>9020945</v>
      </c>
      <c r="AO16" s="49"/>
      <c r="AP16" s="49"/>
      <c r="AQ16" s="49">
        <v>0</v>
      </c>
      <c r="AR16" s="49">
        <v>-20</v>
      </c>
      <c r="AS16" s="49">
        <v>0</v>
      </c>
      <c r="AT16" s="49">
        <v>0</v>
      </c>
      <c r="AU16" s="49">
        <v>0</v>
      </c>
      <c r="AV16" s="49">
        <v>-16181</v>
      </c>
      <c r="AW16" s="49">
        <v>0</v>
      </c>
      <c r="AX16" s="49">
        <v>-11283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-20</v>
      </c>
      <c r="BF16" s="49">
        <v>-9974</v>
      </c>
      <c r="BG16" s="49">
        <v>0</v>
      </c>
      <c r="BH16" s="49">
        <v>0</v>
      </c>
      <c r="BI16" s="49">
        <v>-20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-928</v>
      </c>
      <c r="BW16" s="49">
        <v>-1481</v>
      </c>
      <c r="BX16" s="49">
        <f t="shared" si="4"/>
        <v>-39907</v>
      </c>
      <c r="BY16" s="51">
        <f t="shared" si="5"/>
        <v>8981038</v>
      </c>
    </row>
    <row r="17" spans="1:77" s="2" customFormat="1" ht="15.75" customHeight="1" x14ac:dyDescent="0.2">
      <c r="A17" s="36">
        <v>11</v>
      </c>
      <c r="B17" s="37" t="s">
        <v>141</v>
      </c>
      <c r="C17" s="38">
        <f>'2_State Distrib and Adjs'!BA17</f>
        <v>1018068</v>
      </c>
      <c r="D17" s="38">
        <f>-'5A3_OJJ'!S17</f>
        <v>0</v>
      </c>
      <c r="E17" s="38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-3060</v>
      </c>
      <c r="AM17" s="97">
        <f t="shared" si="2"/>
        <v>-3060</v>
      </c>
      <c r="AN17" s="40">
        <f t="shared" si="3"/>
        <v>1015008</v>
      </c>
      <c r="AO17" s="38"/>
      <c r="AP17" s="38"/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-92</v>
      </c>
      <c r="BX17" s="38">
        <f t="shared" si="4"/>
        <v>-92</v>
      </c>
      <c r="BY17" s="40">
        <f t="shared" si="5"/>
        <v>1014916</v>
      </c>
    </row>
    <row r="18" spans="1:77" s="2" customFormat="1" ht="15.75" customHeight="1" x14ac:dyDescent="0.2">
      <c r="A18" s="36">
        <v>12</v>
      </c>
      <c r="B18" s="37" t="s">
        <v>142</v>
      </c>
      <c r="C18" s="38">
        <f>'2_State Distrib and Adjs'!BA18</f>
        <v>321916</v>
      </c>
      <c r="D18" s="38">
        <f>-'5A3_OJJ'!S18</f>
        <v>0</v>
      </c>
      <c r="E18" s="38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-1055</v>
      </c>
      <c r="AM18" s="97">
        <f t="shared" si="2"/>
        <v>-1055</v>
      </c>
      <c r="AN18" s="40">
        <f t="shared" si="3"/>
        <v>320861</v>
      </c>
      <c r="AO18" s="38"/>
      <c r="AP18" s="38"/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-32</v>
      </c>
      <c r="BX18" s="38">
        <f t="shared" si="4"/>
        <v>-32</v>
      </c>
      <c r="BY18" s="40">
        <f t="shared" si="5"/>
        <v>320829</v>
      </c>
    </row>
    <row r="19" spans="1:77" s="2" customFormat="1" ht="15.75" customHeight="1" x14ac:dyDescent="0.2">
      <c r="A19" s="36">
        <v>13</v>
      </c>
      <c r="B19" s="37" t="s">
        <v>143</v>
      </c>
      <c r="C19" s="38">
        <f>'2_State Distrib and Adjs'!BA19</f>
        <v>716423</v>
      </c>
      <c r="D19" s="38">
        <f>-'5A3_OJJ'!S19</f>
        <v>0</v>
      </c>
      <c r="E19" s="38"/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-24480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-1260</v>
      </c>
      <c r="AL19" s="38">
        <v>-2228</v>
      </c>
      <c r="AM19" s="97">
        <f t="shared" si="2"/>
        <v>-27968</v>
      </c>
      <c r="AN19" s="40">
        <f t="shared" si="3"/>
        <v>688455</v>
      </c>
      <c r="AO19" s="38"/>
      <c r="AP19" s="38"/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-736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-45</v>
      </c>
      <c r="BW19" s="38">
        <v>-67</v>
      </c>
      <c r="BX19" s="38">
        <f t="shared" si="4"/>
        <v>-848</v>
      </c>
      <c r="BY19" s="40">
        <f t="shared" si="5"/>
        <v>687607</v>
      </c>
    </row>
    <row r="20" spans="1:77" s="2" customFormat="1" ht="15.75" customHeight="1" x14ac:dyDescent="0.2">
      <c r="A20" s="36">
        <v>14</v>
      </c>
      <c r="B20" s="37" t="s">
        <v>144</v>
      </c>
      <c r="C20" s="38">
        <f>'2_State Distrib and Adjs'!BA20</f>
        <v>1090423</v>
      </c>
      <c r="D20" s="38">
        <f>-'5A3_OJJ'!S20</f>
        <v>0</v>
      </c>
      <c r="E20" s="38"/>
      <c r="F20" s="38">
        <v>0</v>
      </c>
      <c r="G20" s="38">
        <v>-641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-13786</v>
      </c>
      <c r="W20" s="38">
        <v>0</v>
      </c>
      <c r="X20" s="38">
        <v>0</v>
      </c>
      <c r="Y20" s="38">
        <v>0</v>
      </c>
      <c r="Z20" s="38">
        <v>0</v>
      </c>
      <c r="AA20" s="38">
        <v>-15710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-577</v>
      </c>
      <c r="AL20" s="38">
        <v>-866</v>
      </c>
      <c r="AM20" s="97">
        <f t="shared" si="2"/>
        <v>-31580</v>
      </c>
      <c r="AN20" s="40">
        <f t="shared" si="3"/>
        <v>1058843</v>
      </c>
      <c r="AO20" s="38"/>
      <c r="AP20" s="38"/>
      <c r="AQ20" s="38">
        <v>0</v>
      </c>
      <c r="AR20" s="38">
        <v>-19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-415</v>
      </c>
      <c r="BH20" s="38">
        <v>0</v>
      </c>
      <c r="BI20" s="38">
        <v>0</v>
      </c>
      <c r="BJ20" s="38">
        <v>0</v>
      </c>
      <c r="BK20" s="38">
        <v>0</v>
      </c>
      <c r="BL20" s="38">
        <v>-472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-17</v>
      </c>
      <c r="BW20" s="38">
        <v>-26</v>
      </c>
      <c r="BX20" s="38">
        <f t="shared" si="4"/>
        <v>-949</v>
      </c>
      <c r="BY20" s="40">
        <f t="shared" si="5"/>
        <v>1057894</v>
      </c>
    </row>
    <row r="21" spans="1:77" s="2" customFormat="1" ht="15.75" customHeight="1" x14ac:dyDescent="0.2">
      <c r="A21" s="47">
        <v>15</v>
      </c>
      <c r="B21" s="48" t="s">
        <v>145</v>
      </c>
      <c r="C21" s="49">
        <f>'2_State Distrib and Adjs'!BA21</f>
        <v>1926278</v>
      </c>
      <c r="D21" s="49">
        <f>-'5A3_OJJ'!S21</f>
        <v>-133</v>
      </c>
      <c r="E21" s="49"/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-82460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-2394</v>
      </c>
      <c r="AL21" s="49">
        <v>-239</v>
      </c>
      <c r="AM21" s="83">
        <f t="shared" si="2"/>
        <v>-85226</v>
      </c>
      <c r="AN21" s="51">
        <f t="shared" si="3"/>
        <v>1841052</v>
      </c>
      <c r="AO21" s="49"/>
      <c r="AP21" s="49"/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-2480</v>
      </c>
      <c r="BC21" s="49">
        <v>0</v>
      </c>
      <c r="BD21" s="49">
        <v>0</v>
      </c>
      <c r="BE21" s="49">
        <v>0</v>
      </c>
      <c r="BF21" s="49">
        <v>0</v>
      </c>
      <c r="BG21" s="49">
        <v>0</v>
      </c>
      <c r="BH21" s="49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-72</v>
      </c>
      <c r="BW21" s="49">
        <v>-7</v>
      </c>
      <c r="BX21" s="49">
        <f t="shared" si="4"/>
        <v>-2559</v>
      </c>
      <c r="BY21" s="51">
        <f t="shared" si="5"/>
        <v>1838493</v>
      </c>
    </row>
    <row r="22" spans="1:77" s="2" customFormat="1" ht="15.75" customHeight="1" x14ac:dyDescent="0.2">
      <c r="A22" s="36">
        <v>16</v>
      </c>
      <c r="B22" s="37" t="s">
        <v>146</v>
      </c>
      <c r="C22" s="38">
        <f>'2_State Distrib and Adjs'!BA22</f>
        <v>1170492</v>
      </c>
      <c r="D22" s="38">
        <f>-'5A3_OJJ'!S22</f>
        <v>-1205</v>
      </c>
      <c r="E22" s="38"/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-8701</v>
      </c>
      <c r="AL22" s="38">
        <v>-9789</v>
      </c>
      <c r="AM22" s="97">
        <f t="shared" si="2"/>
        <v>-19695</v>
      </c>
      <c r="AN22" s="40">
        <f t="shared" si="3"/>
        <v>1150797</v>
      </c>
      <c r="AO22" s="38"/>
      <c r="AP22" s="38"/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-262</v>
      </c>
      <c r="BW22" s="38">
        <v>-294</v>
      </c>
      <c r="BX22" s="38">
        <f t="shared" si="4"/>
        <v>-556</v>
      </c>
      <c r="BY22" s="40">
        <f t="shared" si="5"/>
        <v>1150241</v>
      </c>
    </row>
    <row r="23" spans="1:77" s="2" customFormat="1" ht="15.75" customHeight="1" x14ac:dyDescent="0.2">
      <c r="A23" s="36">
        <v>17</v>
      </c>
      <c r="B23" s="37" t="s">
        <v>147</v>
      </c>
      <c r="C23" s="38">
        <f>'2_State Distrib and Adjs'!BA23</f>
        <v>15415970</v>
      </c>
      <c r="D23" s="38">
        <f>-'5A3_OJJ'!S23</f>
        <v>-6162</v>
      </c>
      <c r="E23" s="38">
        <f>-'5B2_RSD LA'!AV18</f>
        <v>-1116372</v>
      </c>
      <c r="F23" s="38">
        <v>-366767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-655</v>
      </c>
      <c r="N23" s="38">
        <v>-191243</v>
      </c>
      <c r="O23" s="38">
        <v>0</v>
      </c>
      <c r="P23" s="38">
        <v>-434227</v>
      </c>
      <c r="Q23" s="38">
        <v>0</v>
      </c>
      <c r="R23" s="38">
        <v>-145422</v>
      </c>
      <c r="S23" s="38">
        <v>-146707</v>
      </c>
      <c r="T23" s="38">
        <v>-25543</v>
      </c>
      <c r="U23" s="38">
        <v>0</v>
      </c>
      <c r="V23" s="38">
        <v>0</v>
      </c>
      <c r="W23" s="38">
        <v>-655</v>
      </c>
      <c r="X23" s="38">
        <v>0</v>
      </c>
      <c r="Y23" s="38">
        <v>-1965</v>
      </c>
      <c r="Z23" s="38">
        <v>-451910</v>
      </c>
      <c r="AA23" s="38">
        <v>0</v>
      </c>
      <c r="AB23" s="38">
        <v>0</v>
      </c>
      <c r="AC23" s="38">
        <v>0</v>
      </c>
      <c r="AD23" s="38">
        <v>-298654</v>
      </c>
      <c r="AE23" s="38">
        <v>0</v>
      </c>
      <c r="AF23" s="38">
        <v>0</v>
      </c>
      <c r="AG23" s="38">
        <v>-127059</v>
      </c>
      <c r="AH23" s="38">
        <v>0</v>
      </c>
      <c r="AI23" s="38">
        <v>0</v>
      </c>
      <c r="AJ23" s="38">
        <v>0</v>
      </c>
      <c r="AK23" s="38">
        <v>-72502</v>
      </c>
      <c r="AL23" s="38">
        <v>-177730</v>
      </c>
      <c r="AM23" s="97">
        <f t="shared" si="2"/>
        <v>-3563573</v>
      </c>
      <c r="AN23" s="40">
        <f t="shared" si="3"/>
        <v>11852397</v>
      </c>
      <c r="AO23" s="38" t="e">
        <f>-'5B2_RSD LA'!#REF!</f>
        <v>#REF!</v>
      </c>
      <c r="AP23" s="38" t="e">
        <f>-'5B2_RSD LA'!#REF!</f>
        <v>#REF!</v>
      </c>
      <c r="AQ23" s="38">
        <v>-11031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-20</v>
      </c>
      <c r="AY23" s="38">
        <v>-5752</v>
      </c>
      <c r="AZ23" s="38">
        <v>0</v>
      </c>
      <c r="BA23" s="38">
        <v>-13059</v>
      </c>
      <c r="BB23" s="38">
        <v>0</v>
      </c>
      <c r="BC23" s="38">
        <v>-4393</v>
      </c>
      <c r="BD23" s="38">
        <v>-4412</v>
      </c>
      <c r="BE23" s="38">
        <v>-768</v>
      </c>
      <c r="BF23" s="38">
        <v>0</v>
      </c>
      <c r="BG23" s="38">
        <v>0</v>
      </c>
      <c r="BH23" s="38">
        <v>-20</v>
      </c>
      <c r="BI23" s="38">
        <v>0</v>
      </c>
      <c r="BJ23" s="38">
        <v>-59</v>
      </c>
      <c r="BK23" s="38">
        <v>-13591</v>
      </c>
      <c r="BL23" s="38">
        <v>0</v>
      </c>
      <c r="BM23" s="38">
        <v>0</v>
      </c>
      <c r="BN23" s="38">
        <v>0</v>
      </c>
      <c r="BO23" s="38">
        <v>-8982</v>
      </c>
      <c r="BP23" s="38">
        <v>0</v>
      </c>
      <c r="BQ23" s="38">
        <v>0</v>
      </c>
      <c r="BR23" s="38">
        <v>-3821</v>
      </c>
      <c r="BS23" s="38">
        <v>0</v>
      </c>
      <c r="BT23" s="38">
        <v>0</v>
      </c>
      <c r="BU23" s="38">
        <v>0</v>
      </c>
      <c r="BV23" s="38">
        <v>-2181</v>
      </c>
      <c r="BW23" s="38">
        <v>-5354</v>
      </c>
      <c r="BX23" s="38" t="e">
        <f t="shared" si="4"/>
        <v>#REF!</v>
      </c>
      <c r="BY23" s="40" t="e">
        <f t="shared" si="5"/>
        <v>#REF!</v>
      </c>
    </row>
    <row r="24" spans="1:77" s="2" customFormat="1" ht="15.75" customHeight="1" x14ac:dyDescent="0.2">
      <c r="A24" s="36">
        <v>18</v>
      </c>
      <c r="B24" s="37" t="s">
        <v>148</v>
      </c>
      <c r="C24" s="38">
        <f>'2_State Distrib and Adjs'!BA24</f>
        <v>495152</v>
      </c>
      <c r="D24" s="38">
        <f>-'5A3_OJJ'!S24</f>
        <v>0</v>
      </c>
      <c r="E24" s="38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-517</v>
      </c>
      <c r="AL24" s="38">
        <v>-1034</v>
      </c>
      <c r="AM24" s="97">
        <f t="shared" si="2"/>
        <v>-1551</v>
      </c>
      <c r="AN24" s="40">
        <f t="shared" si="3"/>
        <v>493601</v>
      </c>
      <c r="AO24" s="38"/>
      <c r="AP24" s="38"/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-16</v>
      </c>
      <c r="BW24" s="38">
        <v>-31</v>
      </c>
      <c r="BX24" s="38">
        <f t="shared" si="4"/>
        <v>-47</v>
      </c>
      <c r="BY24" s="40">
        <f t="shared" si="5"/>
        <v>493554</v>
      </c>
    </row>
    <row r="25" spans="1:77" s="2" customFormat="1" ht="15.75" customHeight="1" x14ac:dyDescent="0.2">
      <c r="A25" s="36">
        <v>19</v>
      </c>
      <c r="B25" s="37" t="s">
        <v>149</v>
      </c>
      <c r="C25" s="38">
        <f>'2_State Distrib and Adjs'!BA25</f>
        <v>814144</v>
      </c>
      <c r="D25" s="38">
        <f>-'5A3_OJJ'!S25</f>
        <v>0</v>
      </c>
      <c r="E25" s="38"/>
      <c r="F25" s="38">
        <v>-369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-3319</v>
      </c>
      <c r="O25" s="38">
        <v>0</v>
      </c>
      <c r="P25" s="38">
        <v>0</v>
      </c>
      <c r="Q25" s="38">
        <v>0</v>
      </c>
      <c r="R25" s="38">
        <v>0</v>
      </c>
      <c r="S25" s="38">
        <v>-3319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-2323</v>
      </c>
      <c r="AL25" s="38">
        <v>-10288</v>
      </c>
      <c r="AM25" s="97">
        <f t="shared" si="2"/>
        <v>-19618</v>
      </c>
      <c r="AN25" s="40">
        <f t="shared" si="3"/>
        <v>794526</v>
      </c>
      <c r="AO25" s="38"/>
      <c r="AP25" s="38"/>
      <c r="AQ25" s="38">
        <v>-11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-100</v>
      </c>
      <c r="AZ25" s="38">
        <v>0</v>
      </c>
      <c r="BA25" s="38">
        <v>0</v>
      </c>
      <c r="BB25" s="38">
        <v>0</v>
      </c>
      <c r="BC25" s="38">
        <v>0</v>
      </c>
      <c r="BD25" s="38">
        <v>-100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-70</v>
      </c>
      <c r="BW25" s="38">
        <v>-309</v>
      </c>
      <c r="BX25" s="38">
        <f t="shared" si="4"/>
        <v>-590</v>
      </c>
      <c r="BY25" s="40">
        <f t="shared" si="5"/>
        <v>793936</v>
      </c>
    </row>
    <row r="26" spans="1:77" s="2" customFormat="1" ht="15.75" customHeight="1" x14ac:dyDescent="0.2">
      <c r="A26" s="47">
        <v>20</v>
      </c>
      <c r="B26" s="48" t="s">
        <v>150</v>
      </c>
      <c r="C26" s="49">
        <f>'2_State Distrib and Adjs'!BA26</f>
        <v>3171262</v>
      </c>
      <c r="D26" s="49">
        <f>-'5A3_OJJ'!S26</f>
        <v>-319</v>
      </c>
      <c r="E26" s="49"/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-244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-4163</v>
      </c>
      <c r="AL26" s="49">
        <v>-4163</v>
      </c>
      <c r="AM26" s="83">
        <f t="shared" si="2"/>
        <v>-8889</v>
      </c>
      <c r="AN26" s="51">
        <f t="shared" si="3"/>
        <v>3162373</v>
      </c>
      <c r="AO26" s="49"/>
      <c r="AP26" s="49"/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0</v>
      </c>
      <c r="BD26" s="49">
        <v>0</v>
      </c>
      <c r="BE26" s="49">
        <v>0</v>
      </c>
      <c r="BF26" s="49">
        <v>0</v>
      </c>
      <c r="BG26" s="49">
        <v>0</v>
      </c>
      <c r="BH26" s="49">
        <v>0</v>
      </c>
      <c r="BI26" s="49">
        <v>-7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-125</v>
      </c>
      <c r="BW26" s="49">
        <v>-125</v>
      </c>
      <c r="BX26" s="49">
        <f t="shared" si="4"/>
        <v>-257</v>
      </c>
      <c r="BY26" s="51">
        <f t="shared" si="5"/>
        <v>3162116</v>
      </c>
    </row>
    <row r="27" spans="1:77" s="2" customFormat="1" ht="15.75" customHeight="1" x14ac:dyDescent="0.2">
      <c r="A27" s="36">
        <v>21</v>
      </c>
      <c r="B27" s="37" t="s">
        <v>151</v>
      </c>
      <c r="C27" s="38">
        <f>'2_State Distrib and Adjs'!BA27</f>
        <v>1718058</v>
      </c>
      <c r="D27" s="38">
        <f>-'5A3_OJJ'!S27</f>
        <v>0</v>
      </c>
      <c r="E27" s="38"/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-260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-937</v>
      </c>
      <c r="AL27" s="38">
        <v>-3512</v>
      </c>
      <c r="AM27" s="97">
        <f t="shared" si="2"/>
        <v>-4709</v>
      </c>
      <c r="AN27" s="40">
        <f t="shared" si="3"/>
        <v>1713349</v>
      </c>
      <c r="AO27" s="38"/>
      <c r="AP27" s="38"/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-8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-28</v>
      </c>
      <c r="BW27" s="38">
        <v>-106</v>
      </c>
      <c r="BX27" s="38">
        <f t="shared" si="4"/>
        <v>-142</v>
      </c>
      <c r="BY27" s="40">
        <f t="shared" si="5"/>
        <v>1713207</v>
      </c>
    </row>
    <row r="28" spans="1:77" s="2" customFormat="1" ht="15.75" customHeight="1" x14ac:dyDescent="0.2">
      <c r="A28" s="36">
        <v>22</v>
      </c>
      <c r="B28" s="37" t="s">
        <v>152</v>
      </c>
      <c r="C28" s="38">
        <f>'2_State Distrib and Adjs'!BA28</f>
        <v>1880808</v>
      </c>
      <c r="D28" s="38">
        <f>-'5A3_OJJ'!S28</f>
        <v>0</v>
      </c>
      <c r="E28" s="38"/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-1281</v>
      </c>
      <c r="AL28" s="38">
        <v>-2419</v>
      </c>
      <c r="AM28" s="97">
        <f t="shared" si="2"/>
        <v>-3700</v>
      </c>
      <c r="AN28" s="40">
        <f t="shared" si="3"/>
        <v>1877108</v>
      </c>
      <c r="AO28" s="38"/>
      <c r="AP28" s="38"/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-39</v>
      </c>
      <c r="BW28" s="38">
        <v>-73</v>
      </c>
      <c r="BX28" s="38">
        <f t="shared" si="4"/>
        <v>-112</v>
      </c>
      <c r="BY28" s="40">
        <f t="shared" si="5"/>
        <v>1876996</v>
      </c>
    </row>
    <row r="29" spans="1:77" s="2" customFormat="1" ht="15.75" customHeight="1" x14ac:dyDescent="0.2">
      <c r="A29" s="36">
        <v>23</v>
      </c>
      <c r="B29" s="37" t="s">
        <v>153</v>
      </c>
      <c r="C29" s="38">
        <f>'2_State Distrib and Adjs'!BA29</f>
        <v>6118738</v>
      </c>
      <c r="D29" s="38">
        <f>-'5A3_OJJ'!S29</f>
        <v>-1354</v>
      </c>
      <c r="E29" s="38"/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-36267</v>
      </c>
      <c r="X29" s="38">
        <v>-2053</v>
      </c>
      <c r="Y29" s="38">
        <v>-342</v>
      </c>
      <c r="Z29" s="38">
        <v>0</v>
      </c>
      <c r="AA29" s="38">
        <v>0</v>
      </c>
      <c r="AB29" s="38">
        <v>0</v>
      </c>
      <c r="AC29" s="38">
        <v>-1026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-11633</v>
      </c>
      <c r="AJ29" s="38">
        <v>0</v>
      </c>
      <c r="AK29" s="38">
        <v>-10778</v>
      </c>
      <c r="AL29" s="38">
        <v>-16797</v>
      </c>
      <c r="AM29" s="97">
        <f t="shared" si="2"/>
        <v>-80250</v>
      </c>
      <c r="AN29" s="40">
        <f t="shared" si="3"/>
        <v>6038488</v>
      </c>
      <c r="AO29" s="38"/>
      <c r="AP29" s="38"/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-1091</v>
      </c>
      <c r="BI29" s="38">
        <v>-62</v>
      </c>
      <c r="BJ29" s="38">
        <v>-10</v>
      </c>
      <c r="BK29" s="38">
        <v>0</v>
      </c>
      <c r="BL29" s="38">
        <v>0</v>
      </c>
      <c r="BM29" s="38">
        <v>0</v>
      </c>
      <c r="BN29" s="38">
        <v>-31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-350</v>
      </c>
      <c r="BU29" s="38">
        <v>0</v>
      </c>
      <c r="BV29" s="38">
        <v>-324</v>
      </c>
      <c r="BW29" s="38">
        <v>-509</v>
      </c>
      <c r="BX29" s="38">
        <f t="shared" si="4"/>
        <v>-2377</v>
      </c>
      <c r="BY29" s="40">
        <f t="shared" si="5"/>
        <v>6036111</v>
      </c>
    </row>
    <row r="30" spans="1:77" s="2" customFormat="1" ht="15.75" customHeight="1" x14ac:dyDescent="0.2">
      <c r="A30" s="36">
        <v>24</v>
      </c>
      <c r="B30" s="37" t="s">
        <v>154</v>
      </c>
      <c r="C30" s="38">
        <f>'2_State Distrib and Adjs'!BA30</f>
        <v>1070248</v>
      </c>
      <c r="D30" s="38">
        <f>-'5A3_OJJ'!S30</f>
        <v>-122</v>
      </c>
      <c r="E30" s="38"/>
      <c r="F30" s="38">
        <v>-2382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-17863</v>
      </c>
      <c r="O30" s="38">
        <v>0</v>
      </c>
      <c r="P30" s="38">
        <v>0</v>
      </c>
      <c r="Q30" s="38">
        <v>0</v>
      </c>
      <c r="R30" s="38">
        <v>-1191</v>
      </c>
      <c r="S30" s="38">
        <v>0</v>
      </c>
      <c r="T30" s="38">
        <v>-197681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-3215</v>
      </c>
      <c r="AL30" s="38">
        <v>-15005</v>
      </c>
      <c r="AM30" s="97">
        <f t="shared" si="2"/>
        <v>-237459</v>
      </c>
      <c r="AN30" s="40">
        <f t="shared" si="3"/>
        <v>832789</v>
      </c>
      <c r="AO30" s="38"/>
      <c r="AP30" s="38"/>
      <c r="AQ30" s="38">
        <v>-72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-537</v>
      </c>
      <c r="AZ30" s="38">
        <v>0</v>
      </c>
      <c r="BA30" s="38">
        <v>0</v>
      </c>
      <c r="BB30" s="38">
        <v>0</v>
      </c>
      <c r="BC30" s="38">
        <v>-36</v>
      </c>
      <c r="BD30" s="38">
        <v>0</v>
      </c>
      <c r="BE30" s="38">
        <v>-5945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-97</v>
      </c>
      <c r="BW30" s="38">
        <v>-451</v>
      </c>
      <c r="BX30" s="38">
        <f t="shared" si="4"/>
        <v>-7138</v>
      </c>
      <c r="BY30" s="40">
        <f t="shared" si="5"/>
        <v>825651</v>
      </c>
    </row>
    <row r="31" spans="1:77" s="2" customFormat="1" ht="15.75" customHeight="1" x14ac:dyDescent="0.2">
      <c r="A31" s="47">
        <v>25</v>
      </c>
      <c r="B31" s="48" t="s">
        <v>155</v>
      </c>
      <c r="C31" s="49">
        <f>'2_State Distrib and Adjs'!BA31</f>
        <v>1084520</v>
      </c>
      <c r="D31" s="49">
        <f>-'5A3_OJJ'!S31</f>
        <v>-139</v>
      </c>
      <c r="E31" s="49"/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-8200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-4361</v>
      </c>
      <c r="AL31" s="49">
        <v>-2013</v>
      </c>
      <c r="AM31" s="83">
        <f t="shared" si="2"/>
        <v>-14713</v>
      </c>
      <c r="AN31" s="51">
        <f t="shared" si="3"/>
        <v>1069807</v>
      </c>
      <c r="AO31" s="49"/>
      <c r="AP31" s="49"/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0</v>
      </c>
      <c r="BE31" s="49">
        <v>0</v>
      </c>
      <c r="BF31" s="49">
        <v>0</v>
      </c>
      <c r="BG31" s="49">
        <v>0</v>
      </c>
      <c r="BH31" s="49">
        <v>0</v>
      </c>
      <c r="BI31" s="49">
        <v>0</v>
      </c>
      <c r="BJ31" s="49">
        <v>0</v>
      </c>
      <c r="BK31" s="49">
        <v>0</v>
      </c>
      <c r="BL31" s="49">
        <v>-247</v>
      </c>
      <c r="BM31" s="49">
        <v>0</v>
      </c>
      <c r="BN31" s="49">
        <v>0</v>
      </c>
      <c r="BO31" s="49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-131</v>
      </c>
      <c r="BW31" s="49">
        <v>-61</v>
      </c>
      <c r="BX31" s="49">
        <f t="shared" si="4"/>
        <v>-439</v>
      </c>
      <c r="BY31" s="51">
        <f t="shared" si="5"/>
        <v>1069368</v>
      </c>
    </row>
    <row r="32" spans="1:77" s="2" customFormat="1" ht="15.75" customHeight="1" x14ac:dyDescent="0.2">
      <c r="A32" s="36">
        <v>26</v>
      </c>
      <c r="B32" s="37" t="s">
        <v>156</v>
      </c>
      <c r="C32" s="38">
        <f>'2_State Distrib and Adjs'!BA32</f>
        <v>20430355</v>
      </c>
      <c r="D32" s="38">
        <f>-'5A3_OJJ'!S32</f>
        <v>-1924</v>
      </c>
      <c r="E32" s="38"/>
      <c r="F32" s="38">
        <v>0</v>
      </c>
      <c r="G32" s="38">
        <v>0</v>
      </c>
      <c r="H32" s="38">
        <v>-21846</v>
      </c>
      <c r="I32" s="38">
        <v>-384171</v>
      </c>
      <c r="J32" s="38">
        <v>-130765</v>
      </c>
      <c r="K32" s="38">
        <v>0</v>
      </c>
      <c r="L32" s="38">
        <v>0</v>
      </c>
      <c r="M32" s="38">
        <v>0</v>
      </c>
      <c r="N32" s="38">
        <v>-533</v>
      </c>
      <c r="O32" s="38">
        <v>-82458</v>
      </c>
      <c r="P32" s="38">
        <v>0</v>
      </c>
      <c r="Q32" s="38">
        <v>0</v>
      </c>
      <c r="R32" s="38">
        <v>0</v>
      </c>
      <c r="S32" s="38">
        <v>0</v>
      </c>
      <c r="T32" s="38">
        <v>-4796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-4263</v>
      </c>
      <c r="AC32" s="38">
        <v>0</v>
      </c>
      <c r="AD32" s="38">
        <v>0</v>
      </c>
      <c r="AE32" s="38">
        <v>-6394</v>
      </c>
      <c r="AF32" s="38">
        <v>-585049</v>
      </c>
      <c r="AG32" s="38">
        <v>0</v>
      </c>
      <c r="AH32" s="38">
        <v>0</v>
      </c>
      <c r="AI32" s="38">
        <v>0</v>
      </c>
      <c r="AJ32" s="38">
        <v>0</v>
      </c>
      <c r="AK32" s="38">
        <v>-77687</v>
      </c>
      <c r="AL32" s="38">
        <v>-113653</v>
      </c>
      <c r="AM32" s="97">
        <f t="shared" si="2"/>
        <v>-1413539</v>
      </c>
      <c r="AN32" s="40">
        <f t="shared" si="3"/>
        <v>19016816</v>
      </c>
      <c r="AO32" s="38"/>
      <c r="AP32" s="38"/>
      <c r="AQ32" s="38">
        <v>0</v>
      </c>
      <c r="AR32" s="38">
        <v>0</v>
      </c>
      <c r="AS32" s="38">
        <v>-657</v>
      </c>
      <c r="AT32" s="38">
        <v>-11554</v>
      </c>
      <c r="AU32" s="38">
        <v>-3926</v>
      </c>
      <c r="AV32" s="38">
        <v>0</v>
      </c>
      <c r="AW32" s="38">
        <v>0</v>
      </c>
      <c r="AX32" s="38">
        <v>0</v>
      </c>
      <c r="AY32" s="38">
        <v>-16</v>
      </c>
      <c r="AZ32" s="38">
        <v>-2500</v>
      </c>
      <c r="BA32" s="38">
        <v>0</v>
      </c>
      <c r="BB32" s="38">
        <v>0</v>
      </c>
      <c r="BC32" s="38">
        <v>0</v>
      </c>
      <c r="BD32" s="38">
        <v>0</v>
      </c>
      <c r="BE32" s="38">
        <v>-144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-128</v>
      </c>
      <c r="BN32" s="38">
        <v>0</v>
      </c>
      <c r="BO32" s="38">
        <v>0</v>
      </c>
      <c r="BP32" s="38">
        <v>-192</v>
      </c>
      <c r="BQ32" s="38">
        <v>-17595</v>
      </c>
      <c r="BR32" s="38">
        <v>0</v>
      </c>
      <c r="BS32" s="38">
        <v>0</v>
      </c>
      <c r="BT32" s="38">
        <v>0</v>
      </c>
      <c r="BU32" s="38">
        <v>0</v>
      </c>
      <c r="BV32" s="38">
        <v>-2336</v>
      </c>
      <c r="BW32" s="38">
        <v>-3418</v>
      </c>
      <c r="BX32" s="38">
        <f t="shared" si="4"/>
        <v>-42466</v>
      </c>
      <c r="BY32" s="40">
        <f t="shared" si="5"/>
        <v>18974350</v>
      </c>
    </row>
    <row r="33" spans="1:77" s="2" customFormat="1" ht="15.75" customHeight="1" x14ac:dyDescent="0.2">
      <c r="A33" s="36">
        <v>27</v>
      </c>
      <c r="B33" s="37" t="s">
        <v>157</v>
      </c>
      <c r="C33" s="38">
        <f>'2_State Distrib and Adjs'!BA33</f>
        <v>3165256</v>
      </c>
      <c r="D33" s="38">
        <f>-'5A3_OJJ'!S33</f>
        <v>-415</v>
      </c>
      <c r="E33" s="38"/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-372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-5024</v>
      </c>
      <c r="AL33" s="38">
        <v>-2679</v>
      </c>
      <c r="AM33" s="97">
        <f t="shared" si="2"/>
        <v>-8490</v>
      </c>
      <c r="AN33" s="40">
        <f t="shared" si="3"/>
        <v>3156766</v>
      </c>
      <c r="AO33" s="38"/>
      <c r="AP33" s="38"/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-11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-151</v>
      </c>
      <c r="BW33" s="38">
        <v>-81</v>
      </c>
      <c r="BX33" s="38">
        <f t="shared" si="4"/>
        <v>-243</v>
      </c>
      <c r="BY33" s="40">
        <f t="shared" si="5"/>
        <v>3156523</v>
      </c>
    </row>
    <row r="34" spans="1:77" s="2" customFormat="1" ht="15.75" customHeight="1" x14ac:dyDescent="0.2">
      <c r="A34" s="36">
        <v>28</v>
      </c>
      <c r="B34" s="37" t="s">
        <v>158</v>
      </c>
      <c r="C34" s="38">
        <f>'2_State Distrib and Adjs'!BA34</f>
        <v>12385762</v>
      </c>
      <c r="D34" s="38">
        <f>-'5A3_OJJ'!S34</f>
        <v>-3250</v>
      </c>
      <c r="E34" s="38"/>
      <c r="F34" s="38">
        <v>0</v>
      </c>
      <c r="G34" s="38">
        <v>0</v>
      </c>
      <c r="H34" s="38">
        <v>0</v>
      </c>
      <c r="I34" s="38">
        <v>-488</v>
      </c>
      <c r="J34" s="38">
        <v>0</v>
      </c>
      <c r="K34" s="38">
        <v>-1463</v>
      </c>
      <c r="L34" s="38">
        <v>0</v>
      </c>
      <c r="M34" s="38">
        <v>0</v>
      </c>
      <c r="N34" s="38">
        <v>-488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-4389</v>
      </c>
      <c r="U34" s="38">
        <v>0</v>
      </c>
      <c r="V34" s="38">
        <v>0</v>
      </c>
      <c r="W34" s="38">
        <v>-561824</v>
      </c>
      <c r="X34" s="38">
        <v>-402342</v>
      </c>
      <c r="Y34" s="38">
        <v>-275060</v>
      </c>
      <c r="Z34" s="38">
        <v>0</v>
      </c>
      <c r="AA34" s="38">
        <v>0</v>
      </c>
      <c r="AB34" s="38">
        <v>0</v>
      </c>
      <c r="AC34" s="38">
        <v>-28286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-32042</v>
      </c>
      <c r="AL34" s="38">
        <v>-55527</v>
      </c>
      <c r="AM34" s="97">
        <f t="shared" si="2"/>
        <v>-1365159</v>
      </c>
      <c r="AN34" s="40">
        <f t="shared" si="3"/>
        <v>11020603</v>
      </c>
      <c r="AO34" s="38"/>
      <c r="AP34" s="38"/>
      <c r="AQ34" s="38">
        <v>0</v>
      </c>
      <c r="AR34" s="38">
        <v>0</v>
      </c>
      <c r="AS34" s="38">
        <v>0</v>
      </c>
      <c r="AT34" s="38">
        <v>-15</v>
      </c>
      <c r="AU34" s="38">
        <v>0</v>
      </c>
      <c r="AV34" s="38">
        <v>-44</v>
      </c>
      <c r="AW34" s="38">
        <v>0</v>
      </c>
      <c r="AX34" s="38">
        <v>0</v>
      </c>
      <c r="AY34" s="38">
        <v>-15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-132</v>
      </c>
      <c r="BF34" s="38">
        <v>0</v>
      </c>
      <c r="BG34" s="38">
        <v>0</v>
      </c>
      <c r="BH34" s="38">
        <v>-16897</v>
      </c>
      <c r="BI34" s="38">
        <v>-12086</v>
      </c>
      <c r="BJ34" s="38">
        <v>-8272</v>
      </c>
      <c r="BK34" s="38">
        <v>0</v>
      </c>
      <c r="BL34" s="38">
        <v>0</v>
      </c>
      <c r="BM34" s="38">
        <v>0</v>
      </c>
      <c r="BN34" s="38">
        <v>-851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-964</v>
      </c>
      <c r="BW34" s="38">
        <v>-1676</v>
      </c>
      <c r="BX34" s="38">
        <f t="shared" si="4"/>
        <v>-40952</v>
      </c>
      <c r="BY34" s="40">
        <f t="shared" si="5"/>
        <v>10979651</v>
      </c>
    </row>
    <row r="35" spans="1:77" s="2" customFormat="1" ht="15.75" customHeight="1" x14ac:dyDescent="0.2">
      <c r="A35" s="36">
        <v>29</v>
      </c>
      <c r="B35" s="37" t="s">
        <v>159</v>
      </c>
      <c r="C35" s="38">
        <f>'2_State Distrib and Adjs'!BA35</f>
        <v>6419157</v>
      </c>
      <c r="D35" s="38">
        <f>-'5A3_OJJ'!S35</f>
        <v>-760</v>
      </c>
      <c r="E35" s="38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-29990</v>
      </c>
      <c r="U35" s="38">
        <v>0</v>
      </c>
      <c r="V35" s="38">
        <v>0</v>
      </c>
      <c r="W35" s="38">
        <v>-4284</v>
      </c>
      <c r="X35" s="38">
        <v>-857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-11568</v>
      </c>
      <c r="AL35" s="38">
        <v>-23135</v>
      </c>
      <c r="AM35" s="97">
        <f t="shared" si="2"/>
        <v>-70594</v>
      </c>
      <c r="AN35" s="40">
        <f t="shared" si="3"/>
        <v>6348563</v>
      </c>
      <c r="AO35" s="38"/>
      <c r="AP35" s="38"/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-902</v>
      </c>
      <c r="BF35" s="38">
        <v>0</v>
      </c>
      <c r="BG35" s="38">
        <v>0</v>
      </c>
      <c r="BH35" s="38">
        <v>-129</v>
      </c>
      <c r="BI35" s="38">
        <v>-26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-348</v>
      </c>
      <c r="BW35" s="38">
        <v>-696</v>
      </c>
      <c r="BX35" s="38">
        <f t="shared" si="4"/>
        <v>-2101</v>
      </c>
      <c r="BY35" s="40">
        <f t="shared" si="5"/>
        <v>6346462</v>
      </c>
    </row>
    <row r="36" spans="1:77" s="2" customFormat="1" ht="15.75" customHeight="1" x14ac:dyDescent="0.2">
      <c r="A36" s="47">
        <v>30</v>
      </c>
      <c r="B36" s="48" t="s">
        <v>160</v>
      </c>
      <c r="C36" s="49">
        <f>'2_State Distrib and Adjs'!BA36</f>
        <v>1445100</v>
      </c>
      <c r="D36" s="49">
        <f>-'5A3_OJJ'!S36</f>
        <v>0</v>
      </c>
      <c r="E36" s="49"/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-514</v>
      </c>
      <c r="AL36" s="49">
        <v>-4554</v>
      </c>
      <c r="AM36" s="83">
        <f t="shared" si="2"/>
        <v>-5068</v>
      </c>
      <c r="AN36" s="51">
        <f t="shared" si="3"/>
        <v>1440032</v>
      </c>
      <c r="AO36" s="49"/>
      <c r="AP36" s="49"/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-21</v>
      </c>
      <c r="BW36" s="49">
        <v>-137</v>
      </c>
      <c r="BX36" s="49">
        <f t="shared" si="4"/>
        <v>-158</v>
      </c>
      <c r="BY36" s="51">
        <f t="shared" si="5"/>
        <v>1439874</v>
      </c>
    </row>
    <row r="37" spans="1:77" s="2" customFormat="1" ht="15.75" customHeight="1" x14ac:dyDescent="0.2">
      <c r="A37" s="36">
        <v>31</v>
      </c>
      <c r="B37" s="37" t="s">
        <v>161</v>
      </c>
      <c r="C37" s="38">
        <f>'2_State Distrib and Adjs'!BA37</f>
        <v>2678315</v>
      </c>
      <c r="D37" s="38">
        <f>-'5A3_OJJ'!S37</f>
        <v>-57</v>
      </c>
      <c r="E37" s="38"/>
      <c r="F37" s="38">
        <v>0</v>
      </c>
      <c r="G37" s="38">
        <v>-28079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-3585</v>
      </c>
      <c r="W37" s="38">
        <v>0</v>
      </c>
      <c r="X37" s="38">
        <v>0</v>
      </c>
      <c r="Y37" s="38">
        <v>0</v>
      </c>
      <c r="Z37" s="38">
        <v>0</v>
      </c>
      <c r="AA37" s="38">
        <v>-246734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-10754</v>
      </c>
      <c r="AL37" s="38">
        <v>-7528</v>
      </c>
      <c r="AM37" s="97">
        <f t="shared" si="2"/>
        <v>-296737</v>
      </c>
      <c r="AN37" s="40">
        <f t="shared" si="3"/>
        <v>2381578</v>
      </c>
      <c r="AO37" s="38"/>
      <c r="AP37" s="38"/>
      <c r="AQ37" s="38">
        <v>0</v>
      </c>
      <c r="AR37" s="38">
        <v>-844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-108</v>
      </c>
      <c r="BH37" s="38">
        <v>0</v>
      </c>
      <c r="BI37" s="38">
        <v>0</v>
      </c>
      <c r="BJ37" s="38">
        <v>0</v>
      </c>
      <c r="BK37" s="38">
        <v>0</v>
      </c>
      <c r="BL37" s="38">
        <v>-7421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-323</v>
      </c>
      <c r="BW37" s="38">
        <v>-226</v>
      </c>
      <c r="BX37" s="38">
        <f t="shared" si="4"/>
        <v>-8922</v>
      </c>
      <c r="BY37" s="40">
        <f t="shared" si="5"/>
        <v>2372656</v>
      </c>
    </row>
    <row r="38" spans="1:77" s="2" customFormat="1" ht="15.75" customHeight="1" x14ac:dyDescent="0.2">
      <c r="A38" s="36">
        <v>32</v>
      </c>
      <c r="B38" s="37" t="s">
        <v>162</v>
      </c>
      <c r="C38" s="38">
        <f>'2_State Distrib and Adjs'!BA38</f>
        <v>14656750</v>
      </c>
      <c r="D38" s="38">
        <f>-'5A3_OJJ'!S38</f>
        <v>0</v>
      </c>
      <c r="E38" s="38"/>
      <c r="F38" s="38">
        <v>-1042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-4950</v>
      </c>
      <c r="O38" s="38">
        <v>0</v>
      </c>
      <c r="P38" s="38">
        <v>-261</v>
      </c>
      <c r="Q38" s="38">
        <v>0</v>
      </c>
      <c r="R38" s="38">
        <v>0</v>
      </c>
      <c r="S38" s="38">
        <v>-521</v>
      </c>
      <c r="T38" s="38">
        <v>-1042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-1563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-19226</v>
      </c>
      <c r="AL38" s="38">
        <v>-69672</v>
      </c>
      <c r="AM38" s="97">
        <f t="shared" si="2"/>
        <v>-98277</v>
      </c>
      <c r="AN38" s="40">
        <f t="shared" si="3"/>
        <v>14558473</v>
      </c>
      <c r="AO38" s="38"/>
      <c r="AP38" s="38"/>
      <c r="AQ38" s="38">
        <v>-31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-149</v>
      </c>
      <c r="AZ38" s="38">
        <v>0</v>
      </c>
      <c r="BA38" s="38">
        <v>-8</v>
      </c>
      <c r="BB38" s="38">
        <v>0</v>
      </c>
      <c r="BC38" s="38">
        <v>0</v>
      </c>
      <c r="BD38" s="38">
        <v>-16</v>
      </c>
      <c r="BE38" s="38">
        <v>-31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-47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-578</v>
      </c>
      <c r="BW38" s="38">
        <v>-2101</v>
      </c>
      <c r="BX38" s="38">
        <f t="shared" si="4"/>
        <v>-2961</v>
      </c>
      <c r="BY38" s="40">
        <f t="shared" si="5"/>
        <v>14555512</v>
      </c>
    </row>
    <row r="39" spans="1:77" s="2" customFormat="1" ht="15.75" customHeight="1" x14ac:dyDescent="0.2">
      <c r="A39" s="36">
        <v>33</v>
      </c>
      <c r="B39" s="37" t="s">
        <v>163</v>
      </c>
      <c r="C39" s="38">
        <f>'2_State Distrib and Adjs'!BA39</f>
        <v>639326</v>
      </c>
      <c r="D39" s="38">
        <f>-'5A3_OJJ'!S39</f>
        <v>-449</v>
      </c>
      <c r="E39" s="38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-351</v>
      </c>
      <c r="AL39" s="38">
        <v>-83103</v>
      </c>
      <c r="AM39" s="97">
        <f t="shared" ref="AM39:AM75" si="6">SUM(D39:AL39)</f>
        <v>-83903</v>
      </c>
      <c r="AN39" s="40">
        <f t="shared" si="3"/>
        <v>555423</v>
      </c>
      <c r="AO39" s="38"/>
      <c r="AP39" s="38"/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-11</v>
      </c>
      <c r="BW39" s="38">
        <v>-2499</v>
      </c>
      <c r="BX39" s="38">
        <f t="shared" si="4"/>
        <v>-2510</v>
      </c>
      <c r="BY39" s="40">
        <f t="shared" si="5"/>
        <v>552913</v>
      </c>
    </row>
    <row r="40" spans="1:77" s="2" customFormat="1" ht="15.75" customHeight="1" x14ac:dyDescent="0.2">
      <c r="A40" s="36">
        <v>34</v>
      </c>
      <c r="B40" s="37" t="s">
        <v>164</v>
      </c>
      <c r="C40" s="38">
        <f>'2_State Distrib and Adjs'!BA40</f>
        <v>2022138</v>
      </c>
      <c r="D40" s="38">
        <f>-'5A3_OJJ'!S40</f>
        <v>-644</v>
      </c>
      <c r="E40" s="38"/>
      <c r="F40" s="38">
        <v>0</v>
      </c>
      <c r="G40" s="38">
        <v>-1004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-10545</v>
      </c>
      <c r="AL40" s="38">
        <v>-8134</v>
      </c>
      <c r="AM40" s="97">
        <f t="shared" si="6"/>
        <v>-20327</v>
      </c>
      <c r="AN40" s="40">
        <f t="shared" si="3"/>
        <v>2001811</v>
      </c>
      <c r="AO40" s="38"/>
      <c r="AP40" s="38"/>
      <c r="AQ40" s="38">
        <v>0</v>
      </c>
      <c r="AR40" s="38">
        <v>-30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-317</v>
      </c>
      <c r="BW40" s="38">
        <v>-245</v>
      </c>
      <c r="BX40" s="38">
        <f t="shared" si="4"/>
        <v>-592</v>
      </c>
      <c r="BY40" s="40">
        <f t="shared" si="5"/>
        <v>2001219</v>
      </c>
    </row>
    <row r="41" spans="1:77" s="2" customFormat="1" ht="15.75" customHeight="1" x14ac:dyDescent="0.2">
      <c r="A41" s="47">
        <v>35</v>
      </c>
      <c r="B41" s="48" t="s">
        <v>165</v>
      </c>
      <c r="C41" s="49">
        <f>'2_State Distrib and Adjs'!BA41</f>
        <v>2653958</v>
      </c>
      <c r="D41" s="49">
        <f>-'5A3_OJJ'!S41</f>
        <v>-167</v>
      </c>
      <c r="E41" s="49"/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49">
        <v>0</v>
      </c>
      <c r="AC41" s="49">
        <v>0</v>
      </c>
      <c r="AD41" s="49">
        <v>0</v>
      </c>
      <c r="AE41" s="49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-6496</v>
      </c>
      <c r="AL41" s="49">
        <v>-3439</v>
      </c>
      <c r="AM41" s="83">
        <f t="shared" si="6"/>
        <v>-10102</v>
      </c>
      <c r="AN41" s="51">
        <f t="shared" si="3"/>
        <v>2643856</v>
      </c>
      <c r="AO41" s="49"/>
      <c r="AP41" s="49"/>
      <c r="AQ41" s="49">
        <v>0</v>
      </c>
      <c r="AR41" s="49">
        <v>0</v>
      </c>
      <c r="AS41" s="49">
        <v>0</v>
      </c>
      <c r="AT41" s="49">
        <v>0</v>
      </c>
      <c r="AU41" s="49">
        <v>0</v>
      </c>
      <c r="AV41" s="49">
        <v>0</v>
      </c>
      <c r="AW41" s="49">
        <v>0</v>
      </c>
      <c r="AX41" s="49">
        <v>0</v>
      </c>
      <c r="AY41" s="49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49">
        <v>0</v>
      </c>
      <c r="BV41" s="49">
        <v>-195</v>
      </c>
      <c r="BW41" s="49">
        <v>-103</v>
      </c>
      <c r="BX41" s="49">
        <f t="shared" si="4"/>
        <v>-298</v>
      </c>
      <c r="BY41" s="51">
        <f t="shared" si="5"/>
        <v>2643558</v>
      </c>
    </row>
    <row r="42" spans="1:77" s="2" customFormat="1" ht="15.75" customHeight="1" x14ac:dyDescent="0.2">
      <c r="A42" s="36">
        <v>36</v>
      </c>
      <c r="B42" s="37" t="s">
        <v>166</v>
      </c>
      <c r="C42" s="38">
        <f>'2_State Distrib and Adjs'!BA42</f>
        <v>17514666</v>
      </c>
      <c r="D42" s="38">
        <f>-'5A3_OJJ'!S42</f>
        <v>-9977</v>
      </c>
      <c r="E42" s="38"/>
      <c r="F42" s="38">
        <v>0</v>
      </c>
      <c r="G42" s="38">
        <v>0</v>
      </c>
      <c r="H42" s="38">
        <v>-149838</v>
      </c>
      <c r="I42" s="38">
        <v>-126163</v>
      </c>
      <c r="J42" s="38">
        <v>-339568</v>
      </c>
      <c r="K42" s="38">
        <v>0</v>
      </c>
      <c r="L42" s="38">
        <v>0</v>
      </c>
      <c r="M42" s="38">
        <v>0</v>
      </c>
      <c r="N42" s="38">
        <v>-505</v>
      </c>
      <c r="O42" s="38">
        <v>-9588</v>
      </c>
      <c r="P42" s="38">
        <v>0</v>
      </c>
      <c r="Q42" s="38">
        <v>0</v>
      </c>
      <c r="R42" s="38">
        <v>0</v>
      </c>
      <c r="S42" s="38">
        <v>0</v>
      </c>
      <c r="T42" s="38">
        <v>-2019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-48447</v>
      </c>
      <c r="AC42" s="38">
        <v>0</v>
      </c>
      <c r="AD42" s="38">
        <v>0</v>
      </c>
      <c r="AE42" s="38">
        <v>-78726</v>
      </c>
      <c r="AF42" s="38">
        <v>-62577</v>
      </c>
      <c r="AG42" s="38">
        <v>0</v>
      </c>
      <c r="AH42" s="38">
        <v>0</v>
      </c>
      <c r="AI42" s="38">
        <v>0</v>
      </c>
      <c r="AJ42" s="38">
        <v>0</v>
      </c>
      <c r="AK42" s="38">
        <v>-40630</v>
      </c>
      <c r="AL42" s="38">
        <v>-36789</v>
      </c>
      <c r="AM42" s="97">
        <f t="shared" si="6"/>
        <v>-904827</v>
      </c>
      <c r="AN42" s="40">
        <f t="shared" si="3"/>
        <v>16609839</v>
      </c>
      <c r="AO42" s="38"/>
      <c r="AP42" s="38"/>
      <c r="AQ42" s="38">
        <v>0</v>
      </c>
      <c r="AR42" s="38">
        <v>0</v>
      </c>
      <c r="AS42" s="38">
        <v>-4514</v>
      </c>
      <c r="AT42" s="38">
        <v>-3794</v>
      </c>
      <c r="AU42" s="38">
        <v>-10204</v>
      </c>
      <c r="AV42" s="38">
        <v>0</v>
      </c>
      <c r="AW42" s="38">
        <v>0</v>
      </c>
      <c r="AX42" s="38">
        <v>0</v>
      </c>
      <c r="AY42" s="38">
        <v>-15</v>
      </c>
      <c r="AZ42" s="38">
        <v>-288</v>
      </c>
      <c r="BA42" s="38">
        <v>0</v>
      </c>
      <c r="BB42" s="38">
        <v>0</v>
      </c>
      <c r="BC42" s="38">
        <v>0</v>
      </c>
      <c r="BD42" s="38">
        <v>0</v>
      </c>
      <c r="BE42" s="38">
        <v>-61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-1457</v>
      </c>
      <c r="BN42" s="38">
        <v>0</v>
      </c>
      <c r="BO42" s="38">
        <v>0</v>
      </c>
      <c r="BP42" s="38">
        <v>-2368</v>
      </c>
      <c r="BQ42" s="38">
        <v>-1882</v>
      </c>
      <c r="BR42" s="38">
        <v>0</v>
      </c>
      <c r="BS42" s="38">
        <v>0</v>
      </c>
      <c r="BT42" s="38">
        <v>0</v>
      </c>
      <c r="BU42" s="38">
        <v>0</v>
      </c>
      <c r="BV42" s="38">
        <v>-1229</v>
      </c>
      <c r="BW42" s="38">
        <v>-1106</v>
      </c>
      <c r="BX42" s="38">
        <f t="shared" si="4"/>
        <v>-26918</v>
      </c>
      <c r="BY42" s="40">
        <f t="shared" si="5"/>
        <v>16582921</v>
      </c>
    </row>
    <row r="43" spans="1:77" s="2" customFormat="1" ht="15.75" customHeight="1" x14ac:dyDescent="0.2">
      <c r="A43" s="36">
        <v>37</v>
      </c>
      <c r="B43" s="37" t="s">
        <v>167</v>
      </c>
      <c r="C43" s="38">
        <f>'2_State Distrib and Adjs'!BA43</f>
        <v>10104680</v>
      </c>
      <c r="D43" s="38">
        <f>-'5A3_OJJ'!S43</f>
        <v>-1313</v>
      </c>
      <c r="E43" s="38"/>
      <c r="F43" s="38">
        <v>0</v>
      </c>
      <c r="G43" s="38">
        <v>-2631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-376</v>
      </c>
      <c r="P43" s="38">
        <v>0</v>
      </c>
      <c r="Q43" s="38">
        <v>-376</v>
      </c>
      <c r="R43" s="38">
        <v>-376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-4510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-21647</v>
      </c>
      <c r="AL43" s="38">
        <v>-30102</v>
      </c>
      <c r="AM43" s="97">
        <f t="shared" si="6"/>
        <v>-61331</v>
      </c>
      <c r="AN43" s="40">
        <f t="shared" si="3"/>
        <v>10043349</v>
      </c>
      <c r="AO43" s="38"/>
      <c r="AP43" s="38"/>
      <c r="AQ43" s="38">
        <v>0</v>
      </c>
      <c r="AR43" s="38">
        <v>-79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-11</v>
      </c>
      <c r="BA43" s="38">
        <v>0</v>
      </c>
      <c r="BB43" s="38">
        <v>-11</v>
      </c>
      <c r="BC43" s="38">
        <v>-11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-136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-651</v>
      </c>
      <c r="BW43" s="38">
        <v>-905</v>
      </c>
      <c r="BX43" s="38">
        <f t="shared" si="4"/>
        <v>-1804</v>
      </c>
      <c r="BY43" s="40">
        <f t="shared" si="5"/>
        <v>10041545</v>
      </c>
    </row>
    <row r="44" spans="1:77" s="2" customFormat="1" ht="15.75" customHeight="1" x14ac:dyDescent="0.2">
      <c r="A44" s="36">
        <v>38</v>
      </c>
      <c r="B44" s="37" t="s">
        <v>168</v>
      </c>
      <c r="C44" s="38">
        <f>'2_State Distrib and Adjs'!BA44</f>
        <v>986209</v>
      </c>
      <c r="D44" s="38">
        <f>-'5A3_OJJ'!S44</f>
        <v>0</v>
      </c>
      <c r="E44" s="38"/>
      <c r="F44" s="38">
        <v>0</v>
      </c>
      <c r="G44" s="38">
        <v>0</v>
      </c>
      <c r="H44" s="38">
        <v>0</v>
      </c>
      <c r="I44" s="38">
        <v>-12874</v>
      </c>
      <c r="J44" s="38">
        <v>-2575</v>
      </c>
      <c r="K44" s="38">
        <v>0</v>
      </c>
      <c r="L44" s="38">
        <v>0</v>
      </c>
      <c r="M44" s="38">
        <v>0</v>
      </c>
      <c r="N44" s="38">
        <v>0</v>
      </c>
      <c r="O44" s="38">
        <v>-858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-858</v>
      </c>
      <c r="AF44" s="38">
        <v>-6866</v>
      </c>
      <c r="AG44" s="38">
        <v>0</v>
      </c>
      <c r="AH44" s="38">
        <v>0</v>
      </c>
      <c r="AI44" s="38">
        <v>0</v>
      </c>
      <c r="AJ44" s="38">
        <v>0</v>
      </c>
      <c r="AK44" s="38">
        <v>-6952</v>
      </c>
      <c r="AL44" s="38">
        <v>-10814</v>
      </c>
      <c r="AM44" s="97">
        <f t="shared" si="6"/>
        <v>-41797</v>
      </c>
      <c r="AN44" s="40">
        <f t="shared" si="3"/>
        <v>944412</v>
      </c>
      <c r="AO44" s="38"/>
      <c r="AP44" s="38"/>
      <c r="AQ44" s="38">
        <v>0</v>
      </c>
      <c r="AR44" s="38">
        <v>0</v>
      </c>
      <c r="AS44" s="38">
        <v>0</v>
      </c>
      <c r="AT44" s="38">
        <v>-387</v>
      </c>
      <c r="AU44" s="38">
        <v>-77</v>
      </c>
      <c r="AV44" s="38">
        <v>0</v>
      </c>
      <c r="AW44" s="38">
        <v>0</v>
      </c>
      <c r="AX44" s="38">
        <v>0</v>
      </c>
      <c r="AY44" s="38">
        <v>0</v>
      </c>
      <c r="AZ44" s="38">
        <v>-26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-26</v>
      </c>
      <c r="BQ44" s="38">
        <v>-207</v>
      </c>
      <c r="BR44" s="38">
        <v>0</v>
      </c>
      <c r="BS44" s="38">
        <v>0</v>
      </c>
      <c r="BT44" s="38">
        <v>0</v>
      </c>
      <c r="BU44" s="38">
        <v>0</v>
      </c>
      <c r="BV44" s="38">
        <v>-209</v>
      </c>
      <c r="BW44" s="38">
        <v>-325</v>
      </c>
      <c r="BX44" s="38">
        <f t="shared" si="4"/>
        <v>-1257</v>
      </c>
      <c r="BY44" s="40">
        <f t="shared" si="5"/>
        <v>943155</v>
      </c>
    </row>
    <row r="45" spans="1:77" s="2" customFormat="1" ht="15.75" customHeight="1" x14ac:dyDescent="0.2">
      <c r="A45" s="36">
        <v>39</v>
      </c>
      <c r="B45" s="37" t="s">
        <v>169</v>
      </c>
      <c r="C45" s="38">
        <f>'2_State Distrib and Adjs'!BA45</f>
        <v>872458</v>
      </c>
      <c r="D45" s="38">
        <f>-'5A3_OJJ'!S45</f>
        <v>-708</v>
      </c>
      <c r="E45" s="3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-4830</v>
      </c>
      <c r="O45" s="38">
        <v>0</v>
      </c>
      <c r="P45" s="38">
        <v>0</v>
      </c>
      <c r="Q45" s="38">
        <v>0</v>
      </c>
      <c r="R45" s="38">
        <v>0</v>
      </c>
      <c r="S45" s="38">
        <v>-2760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-7452</v>
      </c>
      <c r="AL45" s="38">
        <v>-12420</v>
      </c>
      <c r="AM45" s="97">
        <f t="shared" si="6"/>
        <v>-28170</v>
      </c>
      <c r="AN45" s="40">
        <f t="shared" si="3"/>
        <v>844288</v>
      </c>
      <c r="AO45" s="38"/>
      <c r="AP45" s="38"/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-145</v>
      </c>
      <c r="AZ45" s="38">
        <v>0</v>
      </c>
      <c r="BA45" s="38">
        <v>0</v>
      </c>
      <c r="BB45" s="38">
        <v>0</v>
      </c>
      <c r="BC45" s="38">
        <v>0</v>
      </c>
      <c r="BD45" s="38">
        <v>-83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-224</v>
      </c>
      <c r="BW45" s="38">
        <v>-374</v>
      </c>
      <c r="BX45" s="38">
        <f t="shared" si="4"/>
        <v>-826</v>
      </c>
      <c r="BY45" s="40">
        <f t="shared" si="5"/>
        <v>843462</v>
      </c>
    </row>
    <row r="46" spans="1:77" s="2" customFormat="1" ht="15.75" customHeight="1" x14ac:dyDescent="0.2">
      <c r="A46" s="47">
        <v>40</v>
      </c>
      <c r="B46" s="48" t="s">
        <v>170</v>
      </c>
      <c r="C46" s="49">
        <f>'2_State Distrib and Adjs'!BA46</f>
        <v>11343976</v>
      </c>
      <c r="D46" s="49">
        <f>-'5A3_OJJ'!S46</f>
        <v>-655</v>
      </c>
      <c r="E46" s="49"/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-17552</v>
      </c>
      <c r="AL46" s="49">
        <v>-25791</v>
      </c>
      <c r="AM46" s="83">
        <f t="shared" si="6"/>
        <v>-43998</v>
      </c>
      <c r="AN46" s="51">
        <f t="shared" si="3"/>
        <v>11299978</v>
      </c>
      <c r="AO46" s="49"/>
      <c r="AP46" s="49"/>
      <c r="AQ46" s="49">
        <v>0</v>
      </c>
      <c r="AR46" s="49">
        <v>0</v>
      </c>
      <c r="AS46" s="49">
        <v>0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-528</v>
      </c>
      <c r="BW46" s="49">
        <v>-776</v>
      </c>
      <c r="BX46" s="49">
        <f t="shared" si="4"/>
        <v>-1304</v>
      </c>
      <c r="BY46" s="51">
        <f t="shared" si="5"/>
        <v>11298674</v>
      </c>
    </row>
    <row r="47" spans="1:77" s="2" customFormat="1" ht="15.75" customHeight="1" x14ac:dyDescent="0.2">
      <c r="A47" s="36">
        <v>41</v>
      </c>
      <c r="B47" s="37" t="s">
        <v>171</v>
      </c>
      <c r="C47" s="38">
        <f>'2_State Distrib and Adjs'!BA47</f>
        <v>398976</v>
      </c>
      <c r="D47" s="38">
        <f>-'5A3_OJJ'!S47</f>
        <v>0</v>
      </c>
      <c r="E47" s="3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-3088</v>
      </c>
      <c r="AL47" s="38">
        <v>-2058</v>
      </c>
      <c r="AM47" s="97">
        <f t="shared" si="6"/>
        <v>-5146</v>
      </c>
      <c r="AN47" s="40">
        <f t="shared" si="3"/>
        <v>393830</v>
      </c>
      <c r="AO47" s="38"/>
      <c r="AP47" s="38"/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-93</v>
      </c>
      <c r="BW47" s="38">
        <v>-62</v>
      </c>
      <c r="BX47" s="38">
        <f t="shared" si="4"/>
        <v>-155</v>
      </c>
      <c r="BY47" s="40">
        <f t="shared" si="5"/>
        <v>393675</v>
      </c>
    </row>
    <row r="48" spans="1:77" s="2" customFormat="1" ht="15.75" customHeight="1" x14ac:dyDescent="0.2">
      <c r="A48" s="36">
        <v>42</v>
      </c>
      <c r="B48" s="37" t="s">
        <v>172</v>
      </c>
      <c r="C48" s="38">
        <f>'2_State Distrib and Adjs'!BA48</f>
        <v>1379097</v>
      </c>
      <c r="D48" s="38">
        <f>-'5A3_OJJ'!S48</f>
        <v>-581</v>
      </c>
      <c r="E48" s="3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-2290</v>
      </c>
      <c r="AL48" s="38">
        <v>-6489</v>
      </c>
      <c r="AM48" s="97">
        <f t="shared" si="6"/>
        <v>-9360</v>
      </c>
      <c r="AN48" s="40">
        <f t="shared" si="3"/>
        <v>1369737</v>
      </c>
      <c r="AO48" s="38"/>
      <c r="AP48" s="38"/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0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-69</v>
      </c>
      <c r="BW48" s="38">
        <v>-195</v>
      </c>
      <c r="BX48" s="38">
        <f t="shared" si="4"/>
        <v>-264</v>
      </c>
      <c r="BY48" s="40">
        <f t="shared" si="5"/>
        <v>1369473</v>
      </c>
    </row>
    <row r="49" spans="1:77" s="2" customFormat="1" ht="15.75" customHeight="1" x14ac:dyDescent="0.2">
      <c r="A49" s="36">
        <v>43</v>
      </c>
      <c r="B49" s="37" t="s">
        <v>173</v>
      </c>
      <c r="C49" s="38">
        <f>'2_State Distrib and Adjs'!BA49</f>
        <v>2134007</v>
      </c>
      <c r="D49" s="38">
        <f>-'5A3_OJJ'!S49</f>
        <v>0</v>
      </c>
      <c r="E49" s="38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-377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-679</v>
      </c>
      <c r="AL49" s="38">
        <v>-3734</v>
      </c>
      <c r="AM49" s="97">
        <f t="shared" si="6"/>
        <v>-4790</v>
      </c>
      <c r="AN49" s="40">
        <f t="shared" si="3"/>
        <v>2129217</v>
      </c>
      <c r="AO49" s="38"/>
      <c r="AP49" s="38"/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-11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-20</v>
      </c>
      <c r="BW49" s="38">
        <v>-112</v>
      </c>
      <c r="BX49" s="38">
        <f t="shared" si="4"/>
        <v>-143</v>
      </c>
      <c r="BY49" s="40">
        <f t="shared" si="5"/>
        <v>2129074</v>
      </c>
    </row>
    <row r="50" spans="1:77" s="2" customFormat="1" ht="15.75" customHeight="1" x14ac:dyDescent="0.2">
      <c r="A50" s="36">
        <v>44</v>
      </c>
      <c r="B50" s="37" t="s">
        <v>174</v>
      </c>
      <c r="C50" s="38">
        <f>'2_State Distrib and Adjs'!BA50</f>
        <v>3943627</v>
      </c>
      <c r="D50" s="38">
        <f>-'5A3_OJJ'!S50</f>
        <v>-712</v>
      </c>
      <c r="E50" s="38"/>
      <c r="F50" s="38">
        <v>0</v>
      </c>
      <c r="G50" s="38">
        <v>0</v>
      </c>
      <c r="H50" s="38">
        <v>-1389</v>
      </c>
      <c r="I50" s="38">
        <v>-1389</v>
      </c>
      <c r="J50" s="38">
        <v>-2083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-694</v>
      </c>
      <c r="X50" s="38">
        <v>0</v>
      </c>
      <c r="Y50" s="38">
        <v>0</v>
      </c>
      <c r="Z50" s="38">
        <v>0</v>
      </c>
      <c r="AA50" s="38">
        <v>0</v>
      </c>
      <c r="AB50" s="38">
        <v>-347</v>
      </c>
      <c r="AC50" s="38">
        <v>0</v>
      </c>
      <c r="AD50" s="38">
        <v>0</v>
      </c>
      <c r="AE50" s="38">
        <v>0</v>
      </c>
      <c r="AF50" s="38">
        <v>-1736</v>
      </c>
      <c r="AG50" s="38">
        <v>0</v>
      </c>
      <c r="AH50" s="38">
        <v>0</v>
      </c>
      <c r="AI50" s="38">
        <v>0</v>
      </c>
      <c r="AJ50" s="38">
        <v>0</v>
      </c>
      <c r="AK50" s="38">
        <v>-6419</v>
      </c>
      <c r="AL50" s="38">
        <v>-2187</v>
      </c>
      <c r="AM50" s="97">
        <f t="shared" si="6"/>
        <v>-16956</v>
      </c>
      <c r="AN50" s="40">
        <f t="shared" si="3"/>
        <v>3926671</v>
      </c>
      <c r="AO50" s="38"/>
      <c r="AP50" s="38"/>
      <c r="AQ50" s="38">
        <v>0</v>
      </c>
      <c r="AR50" s="38">
        <v>0</v>
      </c>
      <c r="AS50" s="38">
        <v>-42</v>
      </c>
      <c r="AT50" s="38">
        <v>-42</v>
      </c>
      <c r="AU50" s="38">
        <v>-63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-21</v>
      </c>
      <c r="BI50" s="38">
        <v>0</v>
      </c>
      <c r="BJ50" s="38">
        <v>0</v>
      </c>
      <c r="BK50" s="38">
        <v>0</v>
      </c>
      <c r="BL50" s="38">
        <v>0</v>
      </c>
      <c r="BM50" s="38">
        <v>-10</v>
      </c>
      <c r="BN50" s="38">
        <v>0</v>
      </c>
      <c r="BO50" s="38">
        <v>0</v>
      </c>
      <c r="BP50" s="38">
        <v>0</v>
      </c>
      <c r="BQ50" s="38">
        <v>-52</v>
      </c>
      <c r="BR50" s="38">
        <v>0</v>
      </c>
      <c r="BS50" s="38">
        <v>0</v>
      </c>
      <c r="BT50" s="38">
        <v>0</v>
      </c>
      <c r="BU50" s="38">
        <v>0</v>
      </c>
      <c r="BV50" s="38">
        <v>-197</v>
      </c>
      <c r="BW50" s="38">
        <v>-66</v>
      </c>
      <c r="BX50" s="38">
        <f t="shared" si="4"/>
        <v>-493</v>
      </c>
      <c r="BY50" s="40">
        <f t="shared" si="5"/>
        <v>3926178</v>
      </c>
    </row>
    <row r="51" spans="1:77" s="2" customFormat="1" ht="15.75" customHeight="1" x14ac:dyDescent="0.2">
      <c r="A51" s="47">
        <v>45</v>
      </c>
      <c r="B51" s="48" t="s">
        <v>175</v>
      </c>
      <c r="C51" s="49">
        <f>'2_State Distrib and Adjs'!BA51</f>
        <v>2531747</v>
      </c>
      <c r="D51" s="49">
        <f>-'5A3_OJJ'!S51</f>
        <v>0</v>
      </c>
      <c r="E51" s="49"/>
      <c r="F51" s="49">
        <v>0</v>
      </c>
      <c r="G51" s="49">
        <v>0</v>
      </c>
      <c r="H51" s="49">
        <v>0</v>
      </c>
      <c r="I51" s="49">
        <v>-2464</v>
      </c>
      <c r="J51" s="49">
        <v>-7393</v>
      </c>
      <c r="K51" s="49">
        <v>0</v>
      </c>
      <c r="L51" s="49">
        <v>0</v>
      </c>
      <c r="M51" s="49">
        <v>0</v>
      </c>
      <c r="N51" s="49">
        <v>0</v>
      </c>
      <c r="O51" s="49">
        <v>-3696</v>
      </c>
      <c r="P51" s="49">
        <v>0</v>
      </c>
      <c r="Q51" s="49">
        <v>0</v>
      </c>
      <c r="R51" s="49">
        <v>0</v>
      </c>
      <c r="S51" s="49">
        <v>0</v>
      </c>
      <c r="T51" s="49">
        <v>-4928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-1232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-25504</v>
      </c>
      <c r="AL51" s="49">
        <v>-16633</v>
      </c>
      <c r="AM51" s="83">
        <f t="shared" si="6"/>
        <v>-61850</v>
      </c>
      <c r="AN51" s="51">
        <f t="shared" si="3"/>
        <v>2469897</v>
      </c>
      <c r="AO51" s="49"/>
      <c r="AP51" s="49"/>
      <c r="AQ51" s="49">
        <v>0</v>
      </c>
      <c r="AR51" s="49">
        <v>0</v>
      </c>
      <c r="AS51" s="49">
        <v>0</v>
      </c>
      <c r="AT51" s="49">
        <v>-74</v>
      </c>
      <c r="AU51" s="49">
        <v>-222</v>
      </c>
      <c r="AV51" s="49">
        <v>0</v>
      </c>
      <c r="AW51" s="49">
        <v>0</v>
      </c>
      <c r="AX51" s="49">
        <v>0</v>
      </c>
      <c r="AY51" s="49">
        <v>0</v>
      </c>
      <c r="AZ51" s="49">
        <v>-111</v>
      </c>
      <c r="BA51" s="49">
        <v>0</v>
      </c>
      <c r="BB51" s="49">
        <v>0</v>
      </c>
      <c r="BC51" s="49">
        <v>0</v>
      </c>
      <c r="BD51" s="49">
        <v>0</v>
      </c>
      <c r="BE51" s="49">
        <v>-148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-37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49">
        <v>0</v>
      </c>
      <c r="BV51" s="49">
        <v>-767</v>
      </c>
      <c r="BW51" s="49">
        <v>-500</v>
      </c>
      <c r="BX51" s="49">
        <f t="shared" si="4"/>
        <v>-1859</v>
      </c>
      <c r="BY51" s="51">
        <f t="shared" si="5"/>
        <v>2468038</v>
      </c>
    </row>
    <row r="52" spans="1:77" s="2" customFormat="1" ht="15.75" customHeight="1" x14ac:dyDescent="0.2">
      <c r="A52" s="36">
        <v>46</v>
      </c>
      <c r="B52" s="37" t="s">
        <v>176</v>
      </c>
      <c r="C52" s="38">
        <f>'2_State Distrib and Adjs'!BA52</f>
        <v>828885</v>
      </c>
      <c r="D52" s="38">
        <f>-'5A3_OJJ'!S52</f>
        <v>0</v>
      </c>
      <c r="E52" s="38"/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-232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-836</v>
      </c>
      <c r="AL52" s="38">
        <v>-2091</v>
      </c>
      <c r="AM52" s="97">
        <f t="shared" si="6"/>
        <v>-3159</v>
      </c>
      <c r="AN52" s="40">
        <f t="shared" si="3"/>
        <v>825726</v>
      </c>
      <c r="AO52" s="38"/>
      <c r="AP52" s="38"/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-7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-25</v>
      </c>
      <c r="BW52" s="38">
        <v>-63</v>
      </c>
      <c r="BX52" s="38">
        <f t="shared" si="4"/>
        <v>-95</v>
      </c>
      <c r="BY52" s="40">
        <f t="shared" si="5"/>
        <v>825631</v>
      </c>
    </row>
    <row r="53" spans="1:77" s="2" customFormat="1" ht="15.75" customHeight="1" x14ac:dyDescent="0.2">
      <c r="A53" s="36">
        <v>47</v>
      </c>
      <c r="B53" s="37" t="s">
        <v>177</v>
      </c>
      <c r="C53" s="38">
        <f>'2_State Distrib and Adjs'!BA53</f>
        <v>893857</v>
      </c>
      <c r="D53" s="38">
        <f>-'5A3_OJJ'!S53</f>
        <v>0</v>
      </c>
      <c r="E53" s="38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-4643</v>
      </c>
      <c r="AL53" s="38">
        <v>-8125</v>
      </c>
      <c r="AM53" s="97">
        <f t="shared" si="6"/>
        <v>-12768</v>
      </c>
      <c r="AN53" s="40">
        <f t="shared" si="3"/>
        <v>881089</v>
      </c>
      <c r="AO53" s="38"/>
      <c r="AP53" s="38"/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-140</v>
      </c>
      <c r="BW53" s="38">
        <v>-244</v>
      </c>
      <c r="BX53" s="38">
        <f t="shared" si="4"/>
        <v>-384</v>
      </c>
      <c r="BY53" s="40">
        <f t="shared" si="5"/>
        <v>880705</v>
      </c>
    </row>
    <row r="54" spans="1:77" s="2" customFormat="1" ht="15.75" customHeight="1" x14ac:dyDescent="0.2">
      <c r="A54" s="36">
        <v>48</v>
      </c>
      <c r="B54" s="37" t="s">
        <v>178</v>
      </c>
      <c r="C54" s="38">
        <f>'2_State Distrib and Adjs'!BA54</f>
        <v>2365405</v>
      </c>
      <c r="D54" s="38">
        <f>-'5A3_OJJ'!S54</f>
        <v>-227</v>
      </c>
      <c r="E54" s="38"/>
      <c r="F54" s="38">
        <v>0</v>
      </c>
      <c r="G54" s="38">
        <v>0</v>
      </c>
      <c r="H54" s="38">
        <v>-678</v>
      </c>
      <c r="I54" s="38">
        <v>0</v>
      </c>
      <c r="J54" s="38">
        <v>-1356</v>
      </c>
      <c r="K54" s="38">
        <v>0</v>
      </c>
      <c r="L54" s="38">
        <v>0</v>
      </c>
      <c r="M54" s="38">
        <v>0</v>
      </c>
      <c r="N54" s="38">
        <v>0</v>
      </c>
      <c r="O54" s="38">
        <v>-1356</v>
      </c>
      <c r="P54" s="38">
        <v>0</v>
      </c>
      <c r="Q54" s="38">
        <v>0</v>
      </c>
      <c r="R54" s="38">
        <v>0</v>
      </c>
      <c r="S54" s="38">
        <v>0</v>
      </c>
      <c r="T54" s="38">
        <v>-1356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-678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-12206</v>
      </c>
      <c r="AL54" s="38">
        <v>-31126</v>
      </c>
      <c r="AM54" s="97">
        <f t="shared" si="6"/>
        <v>-48983</v>
      </c>
      <c r="AN54" s="40">
        <f t="shared" si="3"/>
        <v>2316422</v>
      </c>
      <c r="AO54" s="38"/>
      <c r="AP54" s="38"/>
      <c r="AQ54" s="38">
        <v>0</v>
      </c>
      <c r="AR54" s="38">
        <v>0</v>
      </c>
      <c r="AS54" s="38">
        <v>-20</v>
      </c>
      <c r="AT54" s="38">
        <v>0</v>
      </c>
      <c r="AU54" s="38">
        <v>-41</v>
      </c>
      <c r="AV54" s="38">
        <v>0</v>
      </c>
      <c r="AW54" s="38">
        <v>0</v>
      </c>
      <c r="AX54" s="38">
        <v>0</v>
      </c>
      <c r="AY54" s="38">
        <v>0</v>
      </c>
      <c r="AZ54" s="38">
        <v>-41</v>
      </c>
      <c r="BA54" s="38">
        <v>0</v>
      </c>
      <c r="BB54" s="38">
        <v>0</v>
      </c>
      <c r="BC54" s="38">
        <v>0</v>
      </c>
      <c r="BD54" s="38">
        <v>0</v>
      </c>
      <c r="BE54" s="38">
        <v>-41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-20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-367</v>
      </c>
      <c r="BW54" s="38">
        <v>-936</v>
      </c>
      <c r="BX54" s="38">
        <f t="shared" si="4"/>
        <v>-1466</v>
      </c>
      <c r="BY54" s="40">
        <f t="shared" si="5"/>
        <v>2314956</v>
      </c>
    </row>
    <row r="55" spans="1:77" s="2" customFormat="1" ht="15.75" customHeight="1" x14ac:dyDescent="0.2">
      <c r="A55" s="36">
        <v>49</v>
      </c>
      <c r="B55" s="37" t="s">
        <v>179</v>
      </c>
      <c r="C55" s="38">
        <f>'2_State Distrib and Adjs'!BA55</f>
        <v>6441424</v>
      </c>
      <c r="D55" s="38">
        <f>-'5A3_OJJ'!S55</f>
        <v>-1016</v>
      </c>
      <c r="E55" s="38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-67617</v>
      </c>
      <c r="M55" s="38">
        <v>0</v>
      </c>
      <c r="N55" s="38">
        <v>-273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-1091</v>
      </c>
      <c r="U55" s="38">
        <v>0</v>
      </c>
      <c r="V55" s="38">
        <v>0</v>
      </c>
      <c r="W55" s="38">
        <v>-2181</v>
      </c>
      <c r="X55" s="38">
        <v>-26174</v>
      </c>
      <c r="Y55" s="38">
        <v>-5726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-59983</v>
      </c>
      <c r="AK55" s="38">
        <v>-19385</v>
      </c>
      <c r="AL55" s="38">
        <v>-20858</v>
      </c>
      <c r="AM55" s="97">
        <f t="shared" si="6"/>
        <v>-204304</v>
      </c>
      <c r="AN55" s="40">
        <f t="shared" si="3"/>
        <v>6237120</v>
      </c>
      <c r="AO55" s="38"/>
      <c r="AP55" s="38"/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-2034</v>
      </c>
      <c r="AX55" s="38">
        <v>0</v>
      </c>
      <c r="AY55" s="38">
        <v>-8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-33</v>
      </c>
      <c r="BF55" s="38">
        <v>0</v>
      </c>
      <c r="BG55" s="38">
        <v>0</v>
      </c>
      <c r="BH55" s="38">
        <v>-66</v>
      </c>
      <c r="BI55" s="38">
        <v>-787</v>
      </c>
      <c r="BJ55" s="38">
        <v>-172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8">
        <v>0</v>
      </c>
      <c r="BS55" s="38">
        <v>0</v>
      </c>
      <c r="BT55" s="38">
        <v>0</v>
      </c>
      <c r="BU55" s="38">
        <v>-1804</v>
      </c>
      <c r="BV55" s="38">
        <v>-583</v>
      </c>
      <c r="BW55" s="38">
        <v>-627</v>
      </c>
      <c r="BX55" s="38">
        <f t="shared" si="4"/>
        <v>-6114</v>
      </c>
      <c r="BY55" s="40">
        <f t="shared" si="5"/>
        <v>6231006</v>
      </c>
    </row>
    <row r="56" spans="1:77" s="2" customFormat="1" ht="15.75" customHeight="1" x14ac:dyDescent="0.2">
      <c r="A56" s="47">
        <v>50</v>
      </c>
      <c r="B56" s="48" t="s">
        <v>180</v>
      </c>
      <c r="C56" s="49">
        <f>'2_State Distrib and Adjs'!BA56</f>
        <v>3652897</v>
      </c>
      <c r="D56" s="49">
        <f>-'5A3_OJJ'!S56</f>
        <v>-165</v>
      </c>
      <c r="E56" s="49"/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-13523</v>
      </c>
      <c r="U56" s="49">
        <v>0</v>
      </c>
      <c r="V56" s="49">
        <v>0</v>
      </c>
      <c r="W56" s="49">
        <v>-22313</v>
      </c>
      <c r="X56" s="49">
        <v>-14875</v>
      </c>
      <c r="Y56" s="49">
        <v>-8452</v>
      </c>
      <c r="Z56" s="49">
        <v>0</v>
      </c>
      <c r="AA56" s="49">
        <v>0</v>
      </c>
      <c r="AB56" s="49">
        <v>0</v>
      </c>
      <c r="AC56" s="49">
        <v>-1014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-7302</v>
      </c>
      <c r="AL56" s="49">
        <v>-5477</v>
      </c>
      <c r="AM56" s="83">
        <f t="shared" si="6"/>
        <v>-73121</v>
      </c>
      <c r="AN56" s="51">
        <f t="shared" si="3"/>
        <v>3579776</v>
      </c>
      <c r="AO56" s="49"/>
      <c r="AP56" s="49"/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-407</v>
      </c>
      <c r="BF56" s="49">
        <v>0</v>
      </c>
      <c r="BG56" s="49">
        <v>0</v>
      </c>
      <c r="BH56" s="49">
        <v>-671</v>
      </c>
      <c r="BI56" s="49">
        <v>-447</v>
      </c>
      <c r="BJ56" s="49">
        <v>-254</v>
      </c>
      <c r="BK56" s="49">
        <v>0</v>
      </c>
      <c r="BL56" s="49">
        <v>0</v>
      </c>
      <c r="BM56" s="49">
        <v>0</v>
      </c>
      <c r="BN56" s="49">
        <v>-31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49">
        <v>0</v>
      </c>
      <c r="BV56" s="49">
        <v>-220</v>
      </c>
      <c r="BW56" s="49">
        <v>-165</v>
      </c>
      <c r="BX56" s="49">
        <f t="shared" si="4"/>
        <v>-2195</v>
      </c>
      <c r="BY56" s="51">
        <f t="shared" si="5"/>
        <v>3577581</v>
      </c>
    </row>
    <row r="57" spans="1:77" s="2" customFormat="1" ht="15.75" customHeight="1" x14ac:dyDescent="0.2">
      <c r="A57" s="36">
        <v>51</v>
      </c>
      <c r="B57" s="37" t="s">
        <v>181</v>
      </c>
      <c r="C57" s="38">
        <f>'2_State Distrib and Adjs'!BA57</f>
        <v>3954892</v>
      </c>
      <c r="D57" s="38">
        <f>-'5A3_OJJ'!S57</f>
        <v>-274</v>
      </c>
      <c r="E57" s="38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-4044</v>
      </c>
      <c r="U57" s="38">
        <v>0</v>
      </c>
      <c r="V57" s="38">
        <v>0</v>
      </c>
      <c r="W57" s="38">
        <v>-404</v>
      </c>
      <c r="X57" s="38">
        <v>0</v>
      </c>
      <c r="Y57" s="38">
        <v>-404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-4732</v>
      </c>
      <c r="AL57" s="38">
        <v>-8007</v>
      </c>
      <c r="AM57" s="97">
        <f t="shared" si="6"/>
        <v>-17865</v>
      </c>
      <c r="AN57" s="40">
        <f t="shared" si="3"/>
        <v>3937027</v>
      </c>
      <c r="AO57" s="38"/>
      <c r="AP57" s="38"/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-122</v>
      </c>
      <c r="BF57" s="38">
        <v>0</v>
      </c>
      <c r="BG57" s="38">
        <v>0</v>
      </c>
      <c r="BH57" s="38">
        <v>-12</v>
      </c>
      <c r="BI57" s="38">
        <v>0</v>
      </c>
      <c r="BJ57" s="38">
        <v>-12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0</v>
      </c>
      <c r="BS57" s="38">
        <v>0</v>
      </c>
      <c r="BT57" s="38">
        <v>0</v>
      </c>
      <c r="BU57" s="38">
        <v>0</v>
      </c>
      <c r="BV57" s="38">
        <v>-142</v>
      </c>
      <c r="BW57" s="38">
        <v>-241</v>
      </c>
      <c r="BX57" s="38">
        <f t="shared" si="4"/>
        <v>-529</v>
      </c>
      <c r="BY57" s="40">
        <f t="shared" si="5"/>
        <v>3936498</v>
      </c>
    </row>
    <row r="58" spans="1:77" s="2" customFormat="1" ht="15.75" customHeight="1" x14ac:dyDescent="0.2">
      <c r="A58" s="36">
        <v>52</v>
      </c>
      <c r="B58" s="37" t="s">
        <v>182</v>
      </c>
      <c r="C58" s="38">
        <f>'2_State Distrib and Adjs'!BA58</f>
        <v>18473997</v>
      </c>
      <c r="D58" s="38">
        <f>-'5A3_OJJ'!S58</f>
        <v>-1369</v>
      </c>
      <c r="E58" s="38"/>
      <c r="F58" s="38">
        <v>0</v>
      </c>
      <c r="G58" s="38">
        <v>0</v>
      </c>
      <c r="H58" s="38">
        <v>0</v>
      </c>
      <c r="I58" s="38">
        <v>-2344</v>
      </c>
      <c r="J58" s="38">
        <v>-7618</v>
      </c>
      <c r="K58" s="38">
        <v>0</v>
      </c>
      <c r="L58" s="38">
        <v>0</v>
      </c>
      <c r="M58" s="38">
        <v>0</v>
      </c>
      <c r="N58" s="38">
        <v>-1758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-1172</v>
      </c>
      <c r="U58" s="38">
        <v>0</v>
      </c>
      <c r="V58" s="38">
        <v>0</v>
      </c>
      <c r="W58" s="38">
        <v>-586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-586</v>
      </c>
      <c r="AF58" s="38">
        <v>-1172</v>
      </c>
      <c r="AG58" s="38">
        <v>0</v>
      </c>
      <c r="AH58" s="38">
        <v>0</v>
      </c>
      <c r="AI58" s="38">
        <v>0</v>
      </c>
      <c r="AJ58" s="38">
        <v>0</v>
      </c>
      <c r="AK58" s="38">
        <v>-67282</v>
      </c>
      <c r="AL58" s="38">
        <v>-188890</v>
      </c>
      <c r="AM58" s="97">
        <f t="shared" si="6"/>
        <v>-272777</v>
      </c>
      <c r="AN58" s="40">
        <f t="shared" si="3"/>
        <v>18201220</v>
      </c>
      <c r="AO58" s="38"/>
      <c r="AP58" s="38"/>
      <c r="AQ58" s="38">
        <v>0</v>
      </c>
      <c r="AR58" s="38">
        <v>0</v>
      </c>
      <c r="AS58" s="38">
        <v>0</v>
      </c>
      <c r="AT58" s="38">
        <v>-71</v>
      </c>
      <c r="AU58" s="38">
        <v>-229</v>
      </c>
      <c r="AV58" s="38">
        <v>0</v>
      </c>
      <c r="AW58" s="38">
        <v>0</v>
      </c>
      <c r="AX58" s="38">
        <v>0</v>
      </c>
      <c r="AY58" s="38">
        <v>-53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-35</v>
      </c>
      <c r="BF58" s="38">
        <v>0</v>
      </c>
      <c r="BG58" s="38">
        <v>0</v>
      </c>
      <c r="BH58" s="38">
        <v>-18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-18</v>
      </c>
      <c r="BQ58" s="38">
        <v>-35</v>
      </c>
      <c r="BR58" s="38">
        <v>0</v>
      </c>
      <c r="BS58" s="38">
        <v>0</v>
      </c>
      <c r="BT58" s="38">
        <v>0</v>
      </c>
      <c r="BU58" s="38">
        <v>0</v>
      </c>
      <c r="BV58" s="38">
        <v>-2030</v>
      </c>
      <c r="BW58" s="38">
        <v>-5695</v>
      </c>
      <c r="BX58" s="38">
        <f t="shared" si="4"/>
        <v>-8184</v>
      </c>
      <c r="BY58" s="40">
        <f t="shared" si="5"/>
        <v>18193036</v>
      </c>
    </row>
    <row r="59" spans="1:77" s="2" customFormat="1" ht="15.75" customHeight="1" x14ac:dyDescent="0.2">
      <c r="A59" s="36">
        <v>53</v>
      </c>
      <c r="B59" s="37" t="s">
        <v>183</v>
      </c>
      <c r="C59" s="38">
        <f>'2_State Distrib and Adjs'!BA59</f>
        <v>10134535</v>
      </c>
      <c r="D59" s="38">
        <f>-'5A3_OJJ'!S59</f>
        <v>-607</v>
      </c>
      <c r="E59" s="38"/>
      <c r="F59" s="38">
        <v>-253</v>
      </c>
      <c r="G59" s="38">
        <v>0</v>
      </c>
      <c r="H59" s="38">
        <v>0</v>
      </c>
      <c r="I59" s="38">
        <v>-253</v>
      </c>
      <c r="J59" s="38">
        <v>-253</v>
      </c>
      <c r="K59" s="38">
        <v>0</v>
      </c>
      <c r="L59" s="38">
        <v>0</v>
      </c>
      <c r="M59" s="38">
        <v>0</v>
      </c>
      <c r="N59" s="38">
        <v>-1266</v>
      </c>
      <c r="O59" s="38">
        <v>-253</v>
      </c>
      <c r="P59" s="38">
        <v>0</v>
      </c>
      <c r="Q59" s="38">
        <v>0</v>
      </c>
      <c r="R59" s="38">
        <v>0</v>
      </c>
      <c r="S59" s="38">
        <v>0</v>
      </c>
      <c r="T59" s="38">
        <v>-506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-17319</v>
      </c>
      <c r="AL59" s="38">
        <v>-51729</v>
      </c>
      <c r="AM59" s="97">
        <f t="shared" si="6"/>
        <v>-72439</v>
      </c>
      <c r="AN59" s="40">
        <f t="shared" si="3"/>
        <v>10062096</v>
      </c>
      <c r="AO59" s="38"/>
      <c r="AP59" s="38"/>
      <c r="AQ59" s="38">
        <v>-8</v>
      </c>
      <c r="AR59" s="38">
        <v>0</v>
      </c>
      <c r="AS59" s="38">
        <v>0</v>
      </c>
      <c r="AT59" s="38">
        <v>-8</v>
      </c>
      <c r="AU59" s="38">
        <v>-8</v>
      </c>
      <c r="AV59" s="38">
        <v>0</v>
      </c>
      <c r="AW59" s="38">
        <v>0</v>
      </c>
      <c r="AX59" s="38">
        <v>0</v>
      </c>
      <c r="AY59" s="38">
        <v>-38</v>
      </c>
      <c r="AZ59" s="38">
        <v>-8</v>
      </c>
      <c r="BA59" s="38">
        <v>0</v>
      </c>
      <c r="BB59" s="38">
        <v>0</v>
      </c>
      <c r="BC59" s="38">
        <v>0</v>
      </c>
      <c r="BD59" s="38">
        <v>0</v>
      </c>
      <c r="BE59" s="38">
        <v>-15</v>
      </c>
      <c r="BF59" s="38">
        <v>0</v>
      </c>
      <c r="BG59" s="38">
        <v>0</v>
      </c>
      <c r="BH59" s="38">
        <v>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8">
        <v>0</v>
      </c>
      <c r="BR59" s="38">
        <v>0</v>
      </c>
      <c r="BS59" s="38">
        <v>0</v>
      </c>
      <c r="BT59" s="38">
        <v>0</v>
      </c>
      <c r="BU59" s="38">
        <v>0</v>
      </c>
      <c r="BV59" s="38">
        <v>-521</v>
      </c>
      <c r="BW59" s="38">
        <v>-1556</v>
      </c>
      <c r="BX59" s="38">
        <f t="shared" si="4"/>
        <v>-2162</v>
      </c>
      <c r="BY59" s="40">
        <f t="shared" si="5"/>
        <v>10059934</v>
      </c>
    </row>
    <row r="60" spans="1:77" s="2" customFormat="1" ht="15.75" customHeight="1" x14ac:dyDescent="0.2">
      <c r="A60" s="36">
        <v>54</v>
      </c>
      <c r="B60" s="37" t="s">
        <v>184</v>
      </c>
      <c r="C60" s="38">
        <f>'2_State Distrib and Adjs'!BA60</f>
        <v>183075</v>
      </c>
      <c r="D60" s="38">
        <f>-'5A3_OJJ'!S60</f>
        <v>-438</v>
      </c>
      <c r="E60" s="38"/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-30275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-524</v>
      </c>
      <c r="AL60" s="38">
        <v>-3668</v>
      </c>
      <c r="AM60" s="97">
        <f t="shared" si="6"/>
        <v>-34905</v>
      </c>
      <c r="AN60" s="40">
        <f t="shared" si="3"/>
        <v>148170</v>
      </c>
      <c r="AO60" s="38"/>
      <c r="AP60" s="38"/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-911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  <c r="BU60" s="38">
        <v>0</v>
      </c>
      <c r="BV60" s="38">
        <v>-16</v>
      </c>
      <c r="BW60" s="38">
        <v>-110</v>
      </c>
      <c r="BX60" s="38">
        <f t="shared" si="4"/>
        <v>-1037</v>
      </c>
      <c r="BY60" s="40">
        <f t="shared" si="5"/>
        <v>147133</v>
      </c>
    </row>
    <row r="61" spans="1:77" s="2" customFormat="1" ht="15.75" customHeight="1" x14ac:dyDescent="0.2">
      <c r="A61" s="47">
        <v>55</v>
      </c>
      <c r="B61" s="48" t="s">
        <v>185</v>
      </c>
      <c r="C61" s="49">
        <f>'2_State Distrib and Adjs'!BA61</f>
        <v>7787814</v>
      </c>
      <c r="D61" s="49">
        <f>-'5A3_OJJ'!S61</f>
        <v>-1825</v>
      </c>
      <c r="E61" s="49"/>
      <c r="F61" s="49">
        <v>0</v>
      </c>
      <c r="G61" s="49">
        <v>0</v>
      </c>
      <c r="H61" s="49">
        <v>-339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-27132</v>
      </c>
      <c r="U61" s="49">
        <v>0</v>
      </c>
      <c r="V61" s="49">
        <v>0</v>
      </c>
      <c r="W61" s="49">
        <v>-3731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-23659</v>
      </c>
      <c r="AL61" s="49">
        <v>-39070</v>
      </c>
      <c r="AM61" s="83">
        <f t="shared" si="6"/>
        <v>-95756</v>
      </c>
      <c r="AN61" s="51">
        <f t="shared" si="3"/>
        <v>7692058</v>
      </c>
      <c r="AO61" s="49"/>
      <c r="AP61" s="49"/>
      <c r="AQ61" s="49">
        <v>0</v>
      </c>
      <c r="AR61" s="49">
        <v>0</v>
      </c>
      <c r="AS61" s="49">
        <v>-10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-816</v>
      </c>
      <c r="BF61" s="49">
        <v>0</v>
      </c>
      <c r="BG61" s="49">
        <v>0</v>
      </c>
      <c r="BH61" s="49">
        <v>-112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-716</v>
      </c>
      <c r="BW61" s="49">
        <v>-1175</v>
      </c>
      <c r="BX61" s="49">
        <f t="shared" si="4"/>
        <v>-2829</v>
      </c>
      <c r="BY61" s="51">
        <f t="shared" si="5"/>
        <v>7689229</v>
      </c>
    </row>
    <row r="62" spans="1:77" s="2" customFormat="1" ht="15.75" customHeight="1" x14ac:dyDescent="0.2">
      <c r="A62" s="36">
        <v>56</v>
      </c>
      <c r="B62" s="37" t="s">
        <v>186</v>
      </c>
      <c r="C62" s="38">
        <f>'2_State Distrib and Adjs'!BA62</f>
        <v>1139719</v>
      </c>
      <c r="D62" s="38">
        <f>-'5A3_OJJ'!S62</f>
        <v>-72</v>
      </c>
      <c r="E62" s="38"/>
      <c r="F62" s="38">
        <v>0</v>
      </c>
      <c r="G62" s="38">
        <v>-328067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-49285</v>
      </c>
      <c r="W62" s="38">
        <v>0</v>
      </c>
      <c r="X62" s="38">
        <v>0</v>
      </c>
      <c r="Y62" s="38">
        <v>0</v>
      </c>
      <c r="Z62" s="38">
        <v>0</v>
      </c>
      <c r="AA62" s="38">
        <v>-16554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-4063</v>
      </c>
      <c r="AL62" s="38">
        <v>-3047</v>
      </c>
      <c r="AM62" s="97">
        <f t="shared" si="6"/>
        <v>-401088</v>
      </c>
      <c r="AN62" s="40">
        <f t="shared" si="3"/>
        <v>738631</v>
      </c>
      <c r="AO62" s="38"/>
      <c r="AP62" s="38"/>
      <c r="AQ62" s="38">
        <v>0</v>
      </c>
      <c r="AR62" s="38">
        <v>-9867</v>
      </c>
      <c r="AS62" s="38">
        <v>0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-1482</v>
      </c>
      <c r="BH62" s="38">
        <v>0</v>
      </c>
      <c r="BI62" s="38">
        <v>0</v>
      </c>
      <c r="BJ62" s="38">
        <v>0</v>
      </c>
      <c r="BK62" s="38">
        <v>0</v>
      </c>
      <c r="BL62" s="38">
        <v>-498</v>
      </c>
      <c r="BM62" s="38">
        <v>0</v>
      </c>
      <c r="BN62" s="38">
        <v>0</v>
      </c>
      <c r="BO62" s="38">
        <v>0</v>
      </c>
      <c r="BP62" s="38">
        <v>0</v>
      </c>
      <c r="BQ62" s="38">
        <v>0</v>
      </c>
      <c r="BR62" s="38">
        <v>0</v>
      </c>
      <c r="BS62" s="38">
        <v>0</v>
      </c>
      <c r="BT62" s="38">
        <v>0</v>
      </c>
      <c r="BU62" s="38">
        <v>0</v>
      </c>
      <c r="BV62" s="38">
        <v>-122</v>
      </c>
      <c r="BW62" s="38">
        <v>-92</v>
      </c>
      <c r="BX62" s="38">
        <f t="shared" si="4"/>
        <v>-12061</v>
      </c>
      <c r="BY62" s="40">
        <f t="shared" si="5"/>
        <v>726570</v>
      </c>
    </row>
    <row r="63" spans="1:77" s="2" customFormat="1" ht="15.75" customHeight="1" x14ac:dyDescent="0.2">
      <c r="A63" s="36">
        <v>57</v>
      </c>
      <c r="B63" s="37" t="s">
        <v>187</v>
      </c>
      <c r="C63" s="38">
        <f>'2_State Distrib and Adjs'!BA63</f>
        <v>5001753</v>
      </c>
      <c r="D63" s="38">
        <f>-'5A3_OJJ'!S63</f>
        <v>-256</v>
      </c>
      <c r="E63" s="38"/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-7517</v>
      </c>
      <c r="X63" s="38">
        <v>-470</v>
      </c>
      <c r="Y63" s="38">
        <v>0</v>
      </c>
      <c r="Z63" s="38">
        <v>0</v>
      </c>
      <c r="AA63" s="38">
        <v>0</v>
      </c>
      <c r="AB63" s="38">
        <v>0</v>
      </c>
      <c r="AC63" s="38">
        <v>-235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-44633</v>
      </c>
      <c r="AJ63" s="38">
        <v>0</v>
      </c>
      <c r="AK63" s="38">
        <v>-4863</v>
      </c>
      <c r="AL63" s="38">
        <v>-2960</v>
      </c>
      <c r="AM63" s="97">
        <f t="shared" si="6"/>
        <v>-60934</v>
      </c>
      <c r="AN63" s="40">
        <f t="shared" si="3"/>
        <v>4940819</v>
      </c>
      <c r="AO63" s="38"/>
      <c r="AP63" s="38"/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-226</v>
      </c>
      <c r="BI63" s="38">
        <v>-14</v>
      </c>
      <c r="BJ63" s="38">
        <v>0</v>
      </c>
      <c r="BK63" s="38">
        <v>0</v>
      </c>
      <c r="BL63" s="38">
        <v>0</v>
      </c>
      <c r="BM63" s="38">
        <v>0</v>
      </c>
      <c r="BN63" s="38">
        <v>-7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-1342</v>
      </c>
      <c r="BU63" s="38">
        <v>0</v>
      </c>
      <c r="BV63" s="38">
        <v>-146</v>
      </c>
      <c r="BW63" s="38">
        <v>-89</v>
      </c>
      <c r="BX63" s="38">
        <f t="shared" si="4"/>
        <v>-1824</v>
      </c>
      <c r="BY63" s="40">
        <f t="shared" si="5"/>
        <v>4938995</v>
      </c>
    </row>
    <row r="64" spans="1:77" s="2" customFormat="1" ht="15.75" customHeight="1" x14ac:dyDescent="0.2">
      <c r="A64" s="36">
        <v>58</v>
      </c>
      <c r="B64" s="37" t="s">
        <v>188</v>
      </c>
      <c r="C64" s="38">
        <f>'2_State Distrib and Adjs'!BA64</f>
        <v>4581718</v>
      </c>
      <c r="D64" s="38">
        <f>-'5A3_OJJ'!S64</f>
        <v>-234</v>
      </c>
      <c r="E64" s="3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-6280</v>
      </c>
      <c r="AL64" s="38">
        <v>-4254</v>
      </c>
      <c r="AM64" s="97">
        <f t="shared" si="6"/>
        <v>-10768</v>
      </c>
      <c r="AN64" s="40">
        <f t="shared" si="3"/>
        <v>4570950</v>
      </c>
      <c r="AO64" s="38"/>
      <c r="AP64" s="38"/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0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0</v>
      </c>
      <c r="BR64" s="38">
        <v>0</v>
      </c>
      <c r="BS64" s="38">
        <v>0</v>
      </c>
      <c r="BT64" s="38">
        <v>0</v>
      </c>
      <c r="BU64" s="38">
        <v>0</v>
      </c>
      <c r="BV64" s="38">
        <v>-189</v>
      </c>
      <c r="BW64" s="38">
        <v>-128</v>
      </c>
      <c r="BX64" s="38">
        <f t="shared" si="4"/>
        <v>-317</v>
      </c>
      <c r="BY64" s="40">
        <f t="shared" si="5"/>
        <v>4570633</v>
      </c>
    </row>
    <row r="65" spans="1:77" s="2" customFormat="1" ht="15.75" customHeight="1" x14ac:dyDescent="0.2">
      <c r="A65" s="36">
        <v>59</v>
      </c>
      <c r="B65" s="37" t="s">
        <v>189</v>
      </c>
      <c r="C65" s="38">
        <f>'2_State Distrib and Adjs'!BA65</f>
        <v>3088552</v>
      </c>
      <c r="D65" s="38">
        <f>-'5A3_OJJ'!S65</f>
        <v>-37</v>
      </c>
      <c r="E65" s="3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-2687</v>
      </c>
      <c r="AL65" s="38">
        <v>-5766</v>
      </c>
      <c r="AM65" s="97">
        <f t="shared" si="6"/>
        <v>-8490</v>
      </c>
      <c r="AN65" s="40">
        <f t="shared" si="3"/>
        <v>3080062</v>
      </c>
      <c r="AO65" s="38"/>
      <c r="AP65" s="38"/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8">
        <v>0</v>
      </c>
      <c r="BR65" s="38">
        <v>0</v>
      </c>
      <c r="BS65" s="38">
        <v>0</v>
      </c>
      <c r="BT65" s="38">
        <v>0</v>
      </c>
      <c r="BU65" s="38">
        <v>0</v>
      </c>
      <c r="BV65" s="38">
        <v>-83</v>
      </c>
      <c r="BW65" s="38">
        <v>-173</v>
      </c>
      <c r="BX65" s="38">
        <f t="shared" si="4"/>
        <v>-256</v>
      </c>
      <c r="BY65" s="40">
        <f t="shared" si="5"/>
        <v>3079806</v>
      </c>
    </row>
    <row r="66" spans="1:77" s="2" customFormat="1" ht="15.75" customHeight="1" x14ac:dyDescent="0.2">
      <c r="A66" s="47">
        <v>60</v>
      </c>
      <c r="B66" s="48" t="s">
        <v>190</v>
      </c>
      <c r="C66" s="49">
        <f>'2_State Distrib and Adjs'!BA66</f>
        <v>3055164</v>
      </c>
      <c r="D66" s="49">
        <f>-'5A3_OJJ'!S66</f>
        <v>-126</v>
      </c>
      <c r="E66" s="49"/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-360</v>
      </c>
      <c r="AB66" s="49">
        <v>0</v>
      </c>
      <c r="AC66" s="49">
        <v>0</v>
      </c>
      <c r="AD66" s="49">
        <v>0</v>
      </c>
      <c r="AE66" s="49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-2266</v>
      </c>
      <c r="AL66" s="49">
        <v>-9386</v>
      </c>
      <c r="AM66" s="83">
        <f t="shared" si="6"/>
        <v>-12138</v>
      </c>
      <c r="AN66" s="51">
        <f t="shared" si="3"/>
        <v>3043026</v>
      </c>
      <c r="AO66" s="49"/>
      <c r="AP66" s="49"/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-11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49">
        <v>0</v>
      </c>
      <c r="BV66" s="49">
        <v>-68</v>
      </c>
      <c r="BW66" s="49">
        <v>-282</v>
      </c>
      <c r="BX66" s="49">
        <f t="shared" si="4"/>
        <v>-361</v>
      </c>
      <c r="BY66" s="51">
        <f t="shared" si="5"/>
        <v>3042665</v>
      </c>
    </row>
    <row r="67" spans="1:77" s="2" customFormat="1" ht="15.75" customHeight="1" x14ac:dyDescent="0.2">
      <c r="A67" s="36">
        <v>61</v>
      </c>
      <c r="B67" s="37" t="s">
        <v>191</v>
      </c>
      <c r="C67" s="38">
        <f>'2_State Distrib and Adjs'!BA67</f>
        <v>1366630</v>
      </c>
      <c r="D67" s="38">
        <f>-'5A3_OJJ'!S67</f>
        <v>-532</v>
      </c>
      <c r="E67" s="38"/>
      <c r="F67" s="38">
        <v>-1853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-12047</v>
      </c>
      <c r="O67" s="38">
        <v>0</v>
      </c>
      <c r="P67" s="38">
        <v>-927</v>
      </c>
      <c r="Q67" s="38">
        <v>0</v>
      </c>
      <c r="R67" s="38">
        <v>0</v>
      </c>
      <c r="S67" s="38">
        <v>-4633</v>
      </c>
      <c r="T67" s="38">
        <v>-47261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-927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-8768</v>
      </c>
      <c r="AL67" s="38">
        <v>-22518</v>
      </c>
      <c r="AM67" s="97">
        <f t="shared" si="6"/>
        <v>-99466</v>
      </c>
      <c r="AN67" s="40">
        <f t="shared" si="3"/>
        <v>1267164</v>
      </c>
      <c r="AO67" s="38"/>
      <c r="AP67" s="38"/>
      <c r="AQ67" s="38">
        <v>-56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-362</v>
      </c>
      <c r="AZ67" s="38">
        <v>0</v>
      </c>
      <c r="BA67" s="38">
        <v>-28</v>
      </c>
      <c r="BB67" s="38">
        <v>0</v>
      </c>
      <c r="BC67" s="38">
        <v>0</v>
      </c>
      <c r="BD67" s="38">
        <v>-139</v>
      </c>
      <c r="BE67" s="38">
        <v>-1421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-28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-276</v>
      </c>
      <c r="BW67" s="38">
        <v>-677</v>
      </c>
      <c r="BX67" s="38">
        <f t="shared" si="4"/>
        <v>-2987</v>
      </c>
      <c r="BY67" s="40">
        <f t="shared" si="5"/>
        <v>1264177</v>
      </c>
    </row>
    <row r="68" spans="1:77" s="2" customFormat="1" ht="15.75" customHeight="1" x14ac:dyDescent="0.2">
      <c r="A68" s="36">
        <v>62</v>
      </c>
      <c r="B68" s="37" t="s">
        <v>192</v>
      </c>
      <c r="C68" s="38">
        <f>'2_State Distrib and Adjs'!BA68</f>
        <v>1087609</v>
      </c>
      <c r="D68" s="38">
        <f>-'5A3_OJJ'!S68</f>
        <v>-244</v>
      </c>
      <c r="E68" s="3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-513</v>
      </c>
      <c r="AL68" s="38">
        <v>-2999</v>
      </c>
      <c r="AM68" s="97">
        <f t="shared" si="6"/>
        <v>-3756</v>
      </c>
      <c r="AN68" s="40">
        <f t="shared" si="3"/>
        <v>1083853</v>
      </c>
      <c r="AO68" s="38"/>
      <c r="AP68" s="38"/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8">
        <v>0</v>
      </c>
      <c r="BS68" s="38">
        <v>0</v>
      </c>
      <c r="BT68" s="38">
        <v>0</v>
      </c>
      <c r="BU68" s="38">
        <v>0</v>
      </c>
      <c r="BV68" s="38">
        <v>-18</v>
      </c>
      <c r="BW68" s="38">
        <v>-90</v>
      </c>
      <c r="BX68" s="38">
        <f t="shared" si="4"/>
        <v>-108</v>
      </c>
      <c r="BY68" s="40">
        <f t="shared" si="5"/>
        <v>1083745</v>
      </c>
    </row>
    <row r="69" spans="1:77" s="2" customFormat="1" ht="15.75" customHeight="1" x14ac:dyDescent="0.2">
      <c r="A69" s="36">
        <v>63</v>
      </c>
      <c r="B69" s="37" t="s">
        <v>193</v>
      </c>
      <c r="C69" s="38">
        <f>'2_State Distrib and Adjs'!BA69</f>
        <v>740000</v>
      </c>
      <c r="D69" s="38">
        <f>-'5A3_OJJ'!S69</f>
        <v>-261</v>
      </c>
      <c r="E69" s="38"/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-3030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-7271</v>
      </c>
      <c r="AL69" s="38">
        <v>-7271</v>
      </c>
      <c r="AM69" s="97">
        <f t="shared" si="6"/>
        <v>-17833</v>
      </c>
      <c r="AN69" s="40">
        <f t="shared" si="3"/>
        <v>722167</v>
      </c>
      <c r="AO69" s="38"/>
      <c r="AP69" s="38"/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-91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38">
        <v>0</v>
      </c>
      <c r="BF69" s="38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-219</v>
      </c>
      <c r="BW69" s="38">
        <v>-219</v>
      </c>
      <c r="BX69" s="38">
        <f t="shared" si="4"/>
        <v>-529</v>
      </c>
      <c r="BY69" s="40">
        <f t="shared" si="5"/>
        <v>721638</v>
      </c>
    </row>
    <row r="70" spans="1:77" s="2" customFormat="1" ht="15.75" customHeight="1" x14ac:dyDescent="0.2">
      <c r="A70" s="36">
        <v>64</v>
      </c>
      <c r="B70" s="37" t="s">
        <v>194</v>
      </c>
      <c r="C70" s="38">
        <f>'2_State Distrib and Adjs'!BA70</f>
        <v>1170048</v>
      </c>
      <c r="D70" s="38">
        <f>-'5A3_OJJ'!S70</f>
        <v>0</v>
      </c>
      <c r="E70" s="38"/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-284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-2048</v>
      </c>
      <c r="AL70" s="38">
        <v>-1280</v>
      </c>
      <c r="AM70" s="97">
        <f t="shared" si="6"/>
        <v>-3612</v>
      </c>
      <c r="AN70" s="40">
        <f t="shared" si="3"/>
        <v>1166436</v>
      </c>
      <c r="AO70" s="38"/>
      <c r="AP70" s="38"/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-9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-62</v>
      </c>
      <c r="BW70" s="38">
        <v>-38</v>
      </c>
      <c r="BX70" s="38">
        <f t="shared" si="4"/>
        <v>-109</v>
      </c>
      <c r="BY70" s="40">
        <f t="shared" si="5"/>
        <v>1166327</v>
      </c>
    </row>
    <row r="71" spans="1:77" s="2" customFormat="1" ht="15.75" customHeight="1" x14ac:dyDescent="0.2">
      <c r="A71" s="47">
        <v>65</v>
      </c>
      <c r="B71" s="48" t="s">
        <v>195</v>
      </c>
      <c r="C71" s="49">
        <f>'2_State Distrib and Adjs'!BA71</f>
        <v>4095203</v>
      </c>
      <c r="D71" s="49">
        <f>-'5A3_OJJ'!S71</f>
        <v>-387</v>
      </c>
      <c r="E71" s="49"/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0</v>
      </c>
      <c r="AF71" s="49">
        <v>0</v>
      </c>
      <c r="AG71" s="49">
        <v>0</v>
      </c>
      <c r="AH71" s="49">
        <v>0</v>
      </c>
      <c r="AI71" s="49">
        <v>0</v>
      </c>
      <c r="AJ71" s="49">
        <v>0</v>
      </c>
      <c r="AK71" s="49">
        <v>-2065</v>
      </c>
      <c r="AL71" s="49">
        <v>-1652</v>
      </c>
      <c r="AM71" s="83">
        <f t="shared" si="6"/>
        <v>-4104</v>
      </c>
      <c r="AN71" s="51">
        <f t="shared" ref="AN71:AN75" si="7">C71+AM71</f>
        <v>4091099</v>
      </c>
      <c r="AO71" s="49"/>
      <c r="AP71" s="49"/>
      <c r="AQ71" s="49">
        <v>0</v>
      </c>
      <c r="AR71" s="49">
        <v>0</v>
      </c>
      <c r="AS71" s="49">
        <v>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F71" s="49">
        <v>0</v>
      </c>
      <c r="BG71" s="49">
        <v>0</v>
      </c>
      <c r="BH71" s="49">
        <v>0</v>
      </c>
      <c r="BI71" s="49">
        <v>0</v>
      </c>
      <c r="BJ71" s="49">
        <v>0</v>
      </c>
      <c r="BK71" s="49">
        <v>0</v>
      </c>
      <c r="BL71" s="49">
        <v>0</v>
      </c>
      <c r="BM71" s="49">
        <v>0</v>
      </c>
      <c r="BN71" s="49">
        <v>0</v>
      </c>
      <c r="BO71" s="49">
        <v>0</v>
      </c>
      <c r="BP71" s="49">
        <v>0</v>
      </c>
      <c r="BQ71" s="49">
        <v>0</v>
      </c>
      <c r="BR71" s="49">
        <v>0</v>
      </c>
      <c r="BS71" s="49">
        <v>0</v>
      </c>
      <c r="BT71" s="49">
        <v>0</v>
      </c>
      <c r="BU71" s="49">
        <v>0</v>
      </c>
      <c r="BV71" s="49">
        <v>-62</v>
      </c>
      <c r="BW71" s="49">
        <v>-50</v>
      </c>
      <c r="BX71" s="49">
        <f t="shared" ref="BX71:BX75" si="8">SUM(AP71:BW71)</f>
        <v>-112</v>
      </c>
      <c r="BY71" s="51">
        <f t="shared" ref="BY71:BY75" si="9">SUM(AN71:BW71)</f>
        <v>4090987</v>
      </c>
    </row>
    <row r="72" spans="1:77" s="2" customFormat="1" ht="15.75" customHeight="1" x14ac:dyDescent="0.2">
      <c r="A72" s="36">
        <v>66</v>
      </c>
      <c r="B72" s="37" t="s">
        <v>196</v>
      </c>
      <c r="C72" s="38">
        <f>'2_State Distrib and Adjs'!BA72</f>
        <v>1164916</v>
      </c>
      <c r="D72" s="38">
        <f>-'5A3_OJJ'!S72</f>
        <v>0</v>
      </c>
      <c r="E72" s="38"/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-4500</v>
      </c>
      <c r="AL72" s="38">
        <v>-7962</v>
      </c>
      <c r="AM72" s="97">
        <f t="shared" si="6"/>
        <v>-12462</v>
      </c>
      <c r="AN72" s="40">
        <f t="shared" si="7"/>
        <v>1152454</v>
      </c>
      <c r="AO72" s="38"/>
      <c r="AP72" s="38"/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-135</v>
      </c>
      <c r="BW72" s="38">
        <v>-239</v>
      </c>
      <c r="BX72" s="38">
        <f t="shared" si="8"/>
        <v>-374</v>
      </c>
      <c r="BY72" s="40">
        <f t="shared" si="9"/>
        <v>1152080</v>
      </c>
    </row>
    <row r="73" spans="1:77" s="2" customFormat="1" ht="15.75" customHeight="1" x14ac:dyDescent="0.2">
      <c r="A73" s="36">
        <v>67</v>
      </c>
      <c r="B73" s="37" t="s">
        <v>197</v>
      </c>
      <c r="C73" s="38">
        <f>'2_State Distrib and Adjs'!BA73</f>
        <v>2786271</v>
      </c>
      <c r="D73" s="38">
        <f>-'5A3_OJJ'!S73</f>
        <v>0</v>
      </c>
      <c r="E73" s="38"/>
      <c r="F73" s="38">
        <v>-1787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-3573</v>
      </c>
      <c r="O73" s="38">
        <v>0</v>
      </c>
      <c r="P73" s="38">
        <v>0</v>
      </c>
      <c r="Q73" s="38">
        <v>0</v>
      </c>
      <c r="R73" s="38">
        <v>-2680</v>
      </c>
      <c r="S73" s="38">
        <v>-7146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-4020</v>
      </c>
      <c r="AL73" s="38">
        <v>-12461</v>
      </c>
      <c r="AM73" s="97">
        <f t="shared" si="6"/>
        <v>-31667</v>
      </c>
      <c r="AN73" s="40">
        <f t="shared" si="7"/>
        <v>2754604</v>
      </c>
      <c r="AO73" s="38"/>
      <c r="AP73" s="38"/>
      <c r="AQ73" s="38">
        <v>-54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-107</v>
      </c>
      <c r="AZ73" s="38">
        <v>0</v>
      </c>
      <c r="BA73" s="38">
        <v>0</v>
      </c>
      <c r="BB73" s="38">
        <v>0</v>
      </c>
      <c r="BC73" s="38">
        <v>-81</v>
      </c>
      <c r="BD73" s="38">
        <v>-215</v>
      </c>
      <c r="BE73" s="38">
        <v>0</v>
      </c>
      <c r="BF73" s="38">
        <v>0</v>
      </c>
      <c r="BG73" s="38">
        <v>0</v>
      </c>
      <c r="BH73" s="38">
        <v>0</v>
      </c>
      <c r="BI73" s="38">
        <v>0</v>
      </c>
      <c r="BJ73" s="38">
        <v>0</v>
      </c>
      <c r="BK73" s="38">
        <v>0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0</v>
      </c>
      <c r="BR73" s="38">
        <v>0</v>
      </c>
      <c r="BS73" s="38">
        <v>0</v>
      </c>
      <c r="BT73" s="38">
        <v>0</v>
      </c>
      <c r="BU73" s="38">
        <v>0</v>
      </c>
      <c r="BV73" s="38">
        <v>-121</v>
      </c>
      <c r="BW73" s="38">
        <v>-375</v>
      </c>
      <c r="BX73" s="38">
        <f t="shared" si="8"/>
        <v>-953</v>
      </c>
      <c r="BY73" s="40">
        <f t="shared" si="9"/>
        <v>2753651</v>
      </c>
    </row>
    <row r="74" spans="1:77" s="2" customFormat="1" ht="15.75" customHeight="1" x14ac:dyDescent="0.2">
      <c r="A74" s="36">
        <v>68</v>
      </c>
      <c r="B74" s="37" t="s">
        <v>198</v>
      </c>
      <c r="C74" s="38">
        <f>'2_State Distrib and Adjs'!BA74</f>
        <v>701839</v>
      </c>
      <c r="D74" s="38">
        <f>-'5A3_OJJ'!S74</f>
        <v>-95</v>
      </c>
      <c r="E74" s="38"/>
      <c r="F74" s="38">
        <v>-3474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-5369</v>
      </c>
      <c r="O74" s="38">
        <v>0</v>
      </c>
      <c r="P74" s="38">
        <v>-316</v>
      </c>
      <c r="Q74" s="38">
        <v>0</v>
      </c>
      <c r="R74" s="38">
        <v>-47053</v>
      </c>
      <c r="S74" s="38">
        <v>-78316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-2526</v>
      </c>
      <c r="AA74" s="38">
        <v>0</v>
      </c>
      <c r="AB74" s="38">
        <v>0</v>
      </c>
      <c r="AC74" s="38">
        <v>0</v>
      </c>
      <c r="AD74" s="38">
        <v>-1895</v>
      </c>
      <c r="AE74" s="38">
        <v>0</v>
      </c>
      <c r="AF74" s="38">
        <v>0</v>
      </c>
      <c r="AG74" s="38">
        <v>-316</v>
      </c>
      <c r="AH74" s="38">
        <v>0</v>
      </c>
      <c r="AI74" s="38">
        <v>0</v>
      </c>
      <c r="AJ74" s="38">
        <v>0</v>
      </c>
      <c r="AK74" s="38">
        <v>-853</v>
      </c>
      <c r="AL74" s="38">
        <v>-2558</v>
      </c>
      <c r="AM74" s="97">
        <f t="shared" si="6"/>
        <v>-142771</v>
      </c>
      <c r="AN74" s="40">
        <f t="shared" si="7"/>
        <v>559068</v>
      </c>
      <c r="AO74" s="38"/>
      <c r="AP74" s="38"/>
      <c r="AQ74" s="38">
        <v>-104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0</v>
      </c>
      <c r="AY74" s="38">
        <v>-161</v>
      </c>
      <c r="AZ74" s="38">
        <v>0</v>
      </c>
      <c r="BA74" s="38">
        <v>-9</v>
      </c>
      <c r="BB74" s="38">
        <v>0</v>
      </c>
      <c r="BC74" s="38">
        <v>-1415</v>
      </c>
      <c r="BD74" s="38">
        <v>-2355</v>
      </c>
      <c r="BE74" s="38">
        <v>0</v>
      </c>
      <c r="BF74" s="38">
        <v>0</v>
      </c>
      <c r="BG74" s="38">
        <v>0</v>
      </c>
      <c r="BH74" s="38">
        <v>0</v>
      </c>
      <c r="BI74" s="38">
        <v>0</v>
      </c>
      <c r="BJ74" s="38">
        <v>0</v>
      </c>
      <c r="BK74" s="38">
        <v>-76</v>
      </c>
      <c r="BL74" s="38">
        <v>0</v>
      </c>
      <c r="BM74" s="38">
        <v>0</v>
      </c>
      <c r="BN74" s="38">
        <v>0</v>
      </c>
      <c r="BO74" s="38">
        <v>-57</v>
      </c>
      <c r="BP74" s="38">
        <v>0</v>
      </c>
      <c r="BQ74" s="38">
        <v>0</v>
      </c>
      <c r="BR74" s="38">
        <v>-9</v>
      </c>
      <c r="BS74" s="38">
        <v>0</v>
      </c>
      <c r="BT74" s="38">
        <v>0</v>
      </c>
      <c r="BU74" s="38">
        <v>0</v>
      </c>
      <c r="BV74" s="38">
        <v>-26</v>
      </c>
      <c r="BW74" s="38">
        <v>-77</v>
      </c>
      <c r="BX74" s="38">
        <f t="shared" si="8"/>
        <v>-4289</v>
      </c>
      <c r="BY74" s="40">
        <f t="shared" si="9"/>
        <v>554779</v>
      </c>
    </row>
    <row r="75" spans="1:77" s="2" customFormat="1" ht="15.75" customHeight="1" x14ac:dyDescent="0.2">
      <c r="A75" s="98">
        <v>69</v>
      </c>
      <c r="B75" s="99" t="s">
        <v>199</v>
      </c>
      <c r="C75" s="55">
        <f>'2_State Distrib and Adjs'!BA75</f>
        <v>2743085</v>
      </c>
      <c r="D75" s="55">
        <f>-'5A3_OJJ'!S75</f>
        <v>0</v>
      </c>
      <c r="E75" s="55"/>
      <c r="F75" s="55">
        <v>-1563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5">
        <v>-5263</v>
      </c>
      <c r="O75" s="55">
        <v>0</v>
      </c>
      <c r="P75" s="55">
        <v>-702</v>
      </c>
      <c r="Q75" s="55">
        <v>0</v>
      </c>
      <c r="R75" s="55">
        <v>0</v>
      </c>
      <c r="S75" s="55">
        <v>-3158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-1053</v>
      </c>
      <c r="AA75" s="55">
        <v>0</v>
      </c>
      <c r="AB75" s="55">
        <v>0</v>
      </c>
      <c r="AC75" s="55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-2211</v>
      </c>
      <c r="AL75" s="55">
        <v>-5053</v>
      </c>
      <c r="AM75" s="100">
        <f t="shared" si="6"/>
        <v>-19003</v>
      </c>
      <c r="AN75" s="58">
        <f t="shared" si="7"/>
        <v>2724082</v>
      </c>
      <c r="AO75" s="55"/>
      <c r="AP75" s="55"/>
      <c r="AQ75" s="55">
        <v>-42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-158</v>
      </c>
      <c r="AZ75" s="55">
        <v>0</v>
      </c>
      <c r="BA75" s="55">
        <v>-21</v>
      </c>
      <c r="BB75" s="55">
        <v>0</v>
      </c>
      <c r="BC75" s="55">
        <v>0</v>
      </c>
      <c r="BD75" s="55">
        <v>-95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-32</v>
      </c>
      <c r="BL75" s="55">
        <v>0</v>
      </c>
      <c r="BM75" s="55">
        <v>0</v>
      </c>
      <c r="BN75" s="55"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-66</v>
      </c>
      <c r="BW75" s="55">
        <v>-152</v>
      </c>
      <c r="BX75" s="55">
        <f t="shared" si="8"/>
        <v>-566</v>
      </c>
      <c r="BY75" s="58">
        <f t="shared" si="9"/>
        <v>2723516</v>
      </c>
    </row>
    <row r="76" spans="1:77" s="41" customFormat="1" ht="15.75" customHeight="1" thickBot="1" x14ac:dyDescent="0.25">
      <c r="A76" s="59"/>
      <c r="B76" s="60" t="s">
        <v>200</v>
      </c>
      <c r="C76" s="85">
        <f t="shared" ref="C76:BY76" si="10">SUM(C7:C75)</f>
        <v>306925711</v>
      </c>
      <c r="D76" s="85">
        <f>SUM(D7:D75)</f>
        <v>-52729</v>
      </c>
      <c r="E76" s="85">
        <f t="shared" si="10"/>
        <v>-1520095</v>
      </c>
      <c r="F76" s="85">
        <f t="shared" si="10"/>
        <v>-381269</v>
      </c>
      <c r="G76" s="85">
        <f t="shared" si="10"/>
        <v>-361081</v>
      </c>
      <c r="H76" s="85">
        <f t="shared" si="10"/>
        <v>-174090</v>
      </c>
      <c r="I76" s="85">
        <f t="shared" si="10"/>
        <v>-530146</v>
      </c>
      <c r="J76" s="85">
        <f t="shared" si="10"/>
        <v>-491611</v>
      </c>
      <c r="K76" s="85">
        <f t="shared" si="10"/>
        <v>-540961</v>
      </c>
      <c r="L76" s="85">
        <f t="shared" si="10"/>
        <v>-67617</v>
      </c>
      <c r="M76" s="85">
        <f t="shared" si="10"/>
        <v>-375824</v>
      </c>
      <c r="N76" s="85">
        <f t="shared" si="10"/>
        <v>-267579</v>
      </c>
      <c r="O76" s="85">
        <f t="shared" si="10"/>
        <v>-98585</v>
      </c>
      <c r="P76" s="85">
        <f t="shared" si="10"/>
        <v>-436433</v>
      </c>
      <c r="Q76" s="85">
        <f t="shared" si="10"/>
        <v>-138228</v>
      </c>
      <c r="R76" s="85">
        <f>SUM(R7:R75)</f>
        <v>-196722</v>
      </c>
      <c r="S76" s="85">
        <f t="shared" ref="S76:AJ76" si="11">SUM(S7:S75)</f>
        <v>-246792</v>
      </c>
      <c r="T76" s="85">
        <f t="shared" si="11"/>
        <v>-382403</v>
      </c>
      <c r="U76" s="85">
        <f t="shared" si="11"/>
        <v>-331039</v>
      </c>
      <c r="V76" s="85">
        <f t="shared" si="11"/>
        <v>-66656</v>
      </c>
      <c r="W76" s="85">
        <f t="shared" si="11"/>
        <v>-643674</v>
      </c>
      <c r="X76" s="85">
        <f t="shared" si="11"/>
        <v>-453631</v>
      </c>
      <c r="Y76" s="85">
        <f t="shared" si="11"/>
        <v>-293438</v>
      </c>
      <c r="Z76" s="85">
        <f t="shared" si="11"/>
        <v>-459165</v>
      </c>
      <c r="AA76" s="85">
        <f t="shared" si="11"/>
        <v>-323484</v>
      </c>
      <c r="AB76" s="85">
        <f t="shared" si="11"/>
        <v>-54967</v>
      </c>
      <c r="AC76" s="85">
        <f t="shared" si="11"/>
        <v>-31057</v>
      </c>
      <c r="AD76" s="85">
        <f t="shared" si="11"/>
        <v>-300549</v>
      </c>
      <c r="AE76" s="85">
        <f t="shared" si="11"/>
        <v>-86564</v>
      </c>
      <c r="AF76" s="85">
        <f t="shared" si="11"/>
        <v>-657400</v>
      </c>
      <c r="AG76" s="85">
        <f t="shared" si="11"/>
        <v>-127375</v>
      </c>
      <c r="AH76" s="85">
        <f t="shared" si="11"/>
        <v>-54853</v>
      </c>
      <c r="AI76" s="85">
        <f t="shared" si="11"/>
        <v>-56266</v>
      </c>
      <c r="AJ76" s="85">
        <f t="shared" si="11"/>
        <v>-59983</v>
      </c>
      <c r="AK76" s="85">
        <f>SUM(AK7:AK75)</f>
        <v>-789894</v>
      </c>
      <c r="AL76" s="85">
        <f>SUM(AL7:AL75)</f>
        <v>-1425737</v>
      </c>
      <c r="AM76" s="86">
        <f t="shared" si="10"/>
        <v>-12477897</v>
      </c>
      <c r="AN76" s="87">
        <f>SUM(AN7:AN75)</f>
        <v>294447814</v>
      </c>
      <c r="AO76" s="85" t="e">
        <f t="shared" si="10"/>
        <v>#REF!</v>
      </c>
      <c r="AP76" s="85" t="e">
        <f t="shared" si="10"/>
        <v>#REF!</v>
      </c>
      <c r="AQ76" s="85">
        <f t="shared" si="10"/>
        <v>-11463</v>
      </c>
      <c r="AR76" s="85">
        <f t="shared" si="10"/>
        <v>-10859</v>
      </c>
      <c r="AS76" s="85">
        <f t="shared" si="10"/>
        <v>-5243</v>
      </c>
      <c r="AT76" s="85">
        <f t="shared" si="10"/>
        <v>-15945</v>
      </c>
      <c r="AU76" s="85">
        <f t="shared" si="10"/>
        <v>-14770</v>
      </c>
      <c r="AV76" s="85">
        <f t="shared" si="10"/>
        <v>-16269</v>
      </c>
      <c r="AW76" s="85">
        <f t="shared" si="10"/>
        <v>-2034</v>
      </c>
      <c r="AX76" s="85">
        <f t="shared" si="10"/>
        <v>-11303</v>
      </c>
      <c r="AY76" s="85">
        <f t="shared" si="10"/>
        <v>-8046</v>
      </c>
      <c r="AZ76" s="85">
        <f t="shared" si="10"/>
        <v>-2985</v>
      </c>
      <c r="BA76" s="85">
        <f t="shared" si="10"/>
        <v>-13125</v>
      </c>
      <c r="BB76" s="85">
        <f t="shared" si="10"/>
        <v>-4157</v>
      </c>
      <c r="BC76" s="85">
        <f t="shared" si="10"/>
        <v>-5936</v>
      </c>
      <c r="BD76" s="85">
        <f t="shared" si="10"/>
        <v>-7422</v>
      </c>
      <c r="BE76" s="85">
        <f t="shared" si="10"/>
        <v>-11501</v>
      </c>
      <c r="BF76" s="85">
        <f t="shared" si="10"/>
        <v>-9983</v>
      </c>
      <c r="BG76" s="85">
        <f t="shared" si="10"/>
        <v>-2005</v>
      </c>
      <c r="BH76" s="85">
        <f t="shared" si="10"/>
        <v>-19360</v>
      </c>
      <c r="BI76" s="85">
        <f t="shared" si="10"/>
        <v>-13628</v>
      </c>
      <c r="BJ76" s="85">
        <f t="shared" si="10"/>
        <v>-8824</v>
      </c>
      <c r="BK76" s="85">
        <f t="shared" si="10"/>
        <v>-13810</v>
      </c>
      <c r="BL76" s="85">
        <f t="shared" si="10"/>
        <v>-9730</v>
      </c>
      <c r="BM76" s="85">
        <f t="shared" si="10"/>
        <v>-1652</v>
      </c>
      <c r="BN76" s="85">
        <f t="shared" si="10"/>
        <v>-935</v>
      </c>
      <c r="BO76" s="85">
        <f t="shared" si="10"/>
        <v>-9039</v>
      </c>
      <c r="BP76" s="85">
        <f t="shared" si="10"/>
        <v>-2604</v>
      </c>
      <c r="BQ76" s="85">
        <f t="shared" si="10"/>
        <v>-19771</v>
      </c>
      <c r="BR76" s="85">
        <f t="shared" si="10"/>
        <v>-3830</v>
      </c>
      <c r="BS76" s="85">
        <f t="shared" si="10"/>
        <v>-1650</v>
      </c>
      <c r="BT76" s="85">
        <f t="shared" si="10"/>
        <v>-1692</v>
      </c>
      <c r="BU76" s="85">
        <f t="shared" si="10"/>
        <v>-1804</v>
      </c>
      <c r="BV76" s="85">
        <f>SUM(BV7:BV75)</f>
        <v>-23810</v>
      </c>
      <c r="BW76" s="85">
        <f>SUM(BW7:BW75)</f>
        <v>-42915</v>
      </c>
      <c r="BX76" s="85" t="e">
        <f>SUM(BX7:BX75)</f>
        <v>#REF!</v>
      </c>
      <c r="BY76" s="87" t="e">
        <f t="shared" si="10"/>
        <v>#REF!</v>
      </c>
    </row>
    <row r="77" spans="1:77" ht="13.5" thickTop="1" x14ac:dyDescent="0.2"/>
  </sheetData>
  <sheetProtection password="D893" sheet="1" objects="1" scenarios="1" formatCells="0" formatColumns="0" formatRows="0"/>
  <mergeCells count="16">
    <mergeCell ref="BL1:BR1"/>
    <mergeCell ref="BS1:BW1"/>
    <mergeCell ref="BX1:BX2"/>
    <mergeCell ref="BY1:BY2"/>
    <mergeCell ref="AH1:AM1"/>
    <mergeCell ref="AN1:AN2"/>
    <mergeCell ref="AO1:AO2"/>
    <mergeCell ref="AP1:AU1"/>
    <mergeCell ref="AV1:BC1"/>
    <mergeCell ref="BD1:BK1"/>
    <mergeCell ref="Z1:AG1"/>
    <mergeCell ref="A1:B2"/>
    <mergeCell ref="C1:C2"/>
    <mergeCell ref="D1:I1"/>
    <mergeCell ref="J1:Q1"/>
    <mergeCell ref="R1:Y1"/>
  </mergeCells>
  <printOptions horizontalCentered="1"/>
  <pageMargins left="0.3" right="0.3" top="0.85" bottom="0.5" header="0.3" footer="0.25"/>
  <pageSetup paperSize="5" scale="74" firstPageNumber="13" fitToWidth="0" fitToHeight="0" orientation="portrait" r:id="rId1"/>
  <headerFooter>
    <oddHeader>&amp;L&amp;"Arial,Bold"&amp;18&amp;K000000Table 2A-2: FY2021-22 Budget Letter
MFP Monthly Transfer Amount July 2021</oddHeader>
    <oddFooter>&amp;R&amp;P</oddFooter>
  </headerFooter>
  <colBreaks count="9" manualBreakCount="9">
    <brk id="9" max="75" man="1"/>
    <brk id="17" max="75" man="1"/>
    <brk id="25" max="75" man="1"/>
    <brk id="33" max="75" man="1"/>
    <brk id="40" max="75" man="1"/>
    <brk id="47" max="1048575" man="1"/>
    <brk id="55" max="1048575" man="1"/>
    <brk id="63" max="1048575" man="1"/>
    <brk id="70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78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9.140625" defaultRowHeight="12.75" x14ac:dyDescent="0.2"/>
  <cols>
    <col min="1" max="1" width="4.7109375" bestFit="1" customWidth="1"/>
    <col min="2" max="2" width="18.7109375" customWidth="1"/>
    <col min="3" max="3" width="17" customWidth="1"/>
    <col min="4" max="4" width="15.140625" customWidth="1"/>
    <col min="5" max="5" width="9.42578125" customWidth="1"/>
    <col min="6" max="6" width="13.7109375" customWidth="1"/>
    <col min="7" max="7" width="9.42578125" customWidth="1"/>
    <col min="8" max="8" width="13.7109375" customWidth="1"/>
    <col min="9" max="9" width="9.42578125" customWidth="1"/>
    <col min="10" max="10" width="13.7109375" customWidth="1"/>
    <col min="11" max="11" width="9.42578125" customWidth="1"/>
    <col min="12" max="13" width="14" customWidth="1"/>
    <col min="14" max="14" width="9.42578125" customWidth="1"/>
    <col min="15" max="16" width="14.28515625" customWidth="1"/>
    <col min="17" max="17" width="10.140625" customWidth="1"/>
    <col min="18" max="18" width="17.42578125" customWidth="1"/>
    <col min="19" max="19" width="17.5703125" customWidth="1"/>
    <col min="20" max="20" width="17.7109375" customWidth="1"/>
    <col min="21" max="21" width="16.5703125" customWidth="1"/>
    <col min="22" max="24" width="12.28515625" customWidth="1"/>
    <col min="25" max="25" width="18.7109375" customWidth="1"/>
    <col min="26" max="26" width="15.85546875" customWidth="1"/>
    <col min="27" max="27" width="13" customWidth="1"/>
    <col min="28" max="28" width="14.140625" customWidth="1"/>
    <col min="29" max="29" width="14.42578125" customWidth="1"/>
    <col min="30" max="30" width="13.85546875" customWidth="1"/>
    <col min="31" max="31" width="13.28515625" customWidth="1"/>
    <col min="32" max="32" width="9" customWidth="1"/>
    <col min="33" max="33" width="8.85546875" customWidth="1"/>
    <col min="34" max="34" width="15.5703125" bestFit="1" customWidth="1"/>
    <col min="35" max="35" width="9" customWidth="1"/>
    <col min="36" max="36" width="16.140625" customWidth="1"/>
    <col min="37" max="37" width="9.85546875" customWidth="1"/>
    <col min="38" max="38" width="16.140625" customWidth="1"/>
    <col min="39" max="39" width="9.85546875" customWidth="1"/>
    <col min="40" max="40" width="16.140625" customWidth="1"/>
    <col min="41" max="41" width="9.85546875" customWidth="1"/>
    <col min="42" max="42" width="16.140625" customWidth="1"/>
    <col min="43" max="43" width="9.85546875" customWidth="1"/>
    <col min="44" max="44" width="17.5703125" customWidth="1"/>
    <col min="45" max="45" width="9.85546875" customWidth="1"/>
    <col min="46" max="46" width="17" customWidth="1"/>
    <col min="47" max="47" width="10.5703125" customWidth="1"/>
    <col min="48" max="48" width="9.85546875" customWidth="1"/>
    <col min="49" max="49" width="13.85546875" customWidth="1"/>
    <col min="50" max="50" width="18.140625" customWidth="1"/>
    <col min="51" max="51" width="10.5703125" customWidth="1"/>
    <col min="52" max="52" width="9.85546875" customWidth="1"/>
    <col min="53" max="53" width="6.42578125" customWidth="1"/>
  </cols>
  <sheetData>
    <row r="1" spans="1:52" ht="16.5" customHeight="1" x14ac:dyDescent="0.2">
      <c r="A1" s="936" t="s">
        <v>201</v>
      </c>
      <c r="B1" s="937"/>
      <c r="C1" s="942" t="s">
        <v>333</v>
      </c>
      <c r="D1" s="944">
        <v>0.22</v>
      </c>
      <c r="E1" s="945"/>
      <c r="F1" s="946">
        <v>0.06</v>
      </c>
      <c r="G1" s="947"/>
      <c r="H1" s="946">
        <v>1.5</v>
      </c>
      <c r="I1" s="947"/>
      <c r="J1" s="944">
        <v>0.6</v>
      </c>
      <c r="K1" s="945"/>
      <c r="L1" s="101">
        <v>7500</v>
      </c>
      <c r="M1" s="101">
        <v>37500</v>
      </c>
      <c r="N1" s="101">
        <f>M1</f>
        <v>37500</v>
      </c>
      <c r="O1" s="102"/>
      <c r="P1" s="102"/>
      <c r="Q1" s="103">
        <f>ROUND(4015*1,0)</f>
        <v>4015</v>
      </c>
      <c r="R1" s="102"/>
      <c r="S1" s="102"/>
      <c r="T1" s="104">
        <v>0.75</v>
      </c>
      <c r="U1" s="105"/>
      <c r="V1" s="102"/>
      <c r="W1" s="106"/>
      <c r="X1" s="106"/>
      <c r="Y1" s="102"/>
      <c r="Z1" s="102"/>
      <c r="AA1" s="102"/>
      <c r="AB1" s="107">
        <v>0.34</v>
      </c>
      <c r="AC1" s="106"/>
      <c r="AD1" s="108">
        <v>1.72</v>
      </c>
      <c r="AE1" s="105"/>
      <c r="AF1" s="102"/>
      <c r="AG1" s="102"/>
      <c r="AH1" s="105"/>
      <c r="AI1" s="102"/>
      <c r="AJ1" s="950" t="s">
        <v>334</v>
      </c>
      <c r="AK1" s="950"/>
      <c r="AL1" s="950"/>
      <c r="AM1" s="950"/>
      <c r="AN1" s="951" t="s">
        <v>335</v>
      </c>
      <c r="AO1" s="951"/>
      <c r="AP1" s="951"/>
      <c r="AQ1" s="951"/>
      <c r="AR1" s="109"/>
      <c r="AS1" s="109"/>
      <c r="AT1" s="110"/>
      <c r="AU1" s="110"/>
      <c r="AV1" s="110"/>
      <c r="AW1" s="110"/>
      <c r="AX1" s="111"/>
      <c r="AY1" s="111"/>
      <c r="AZ1" s="111"/>
    </row>
    <row r="2" spans="1:52" ht="105.75" customHeight="1" x14ac:dyDescent="0.2">
      <c r="A2" s="938"/>
      <c r="B2" s="939"/>
      <c r="C2" s="943"/>
      <c r="D2" s="112" t="s">
        <v>336</v>
      </c>
      <c r="E2" s="942" t="s">
        <v>337</v>
      </c>
      <c r="F2" s="113" t="s">
        <v>338</v>
      </c>
      <c r="G2" s="942" t="s">
        <v>337</v>
      </c>
      <c r="H2" s="113" t="s">
        <v>339</v>
      </c>
      <c r="I2" s="942" t="s">
        <v>337</v>
      </c>
      <c r="J2" s="113" t="s">
        <v>340</v>
      </c>
      <c r="K2" s="942" t="s">
        <v>337</v>
      </c>
      <c r="L2" s="942" t="s">
        <v>341</v>
      </c>
      <c r="M2" s="942" t="s">
        <v>342</v>
      </c>
      <c r="N2" s="942" t="s">
        <v>337</v>
      </c>
      <c r="O2" s="943" t="s">
        <v>343</v>
      </c>
      <c r="P2" s="943" t="s">
        <v>344</v>
      </c>
      <c r="Q2" s="953" t="s">
        <v>345</v>
      </c>
      <c r="R2" s="954" t="s">
        <v>346</v>
      </c>
      <c r="S2" s="954" t="s">
        <v>347</v>
      </c>
      <c r="T2" s="955" t="s">
        <v>348</v>
      </c>
      <c r="U2" s="948" t="s">
        <v>349</v>
      </c>
      <c r="V2" s="954" t="s">
        <v>350</v>
      </c>
      <c r="W2" s="956" t="s">
        <v>351</v>
      </c>
      <c r="X2" s="956" t="s">
        <v>352</v>
      </c>
      <c r="Y2" s="954" t="s">
        <v>353</v>
      </c>
      <c r="Z2" s="954" t="s">
        <v>354</v>
      </c>
      <c r="AA2" s="954" t="s">
        <v>355</v>
      </c>
      <c r="AB2" s="953" t="s">
        <v>356</v>
      </c>
      <c r="AC2" s="956" t="s">
        <v>357</v>
      </c>
      <c r="AD2" s="953" t="s">
        <v>358</v>
      </c>
      <c r="AE2" s="948" t="s">
        <v>359</v>
      </c>
      <c r="AF2" s="954" t="s">
        <v>360</v>
      </c>
      <c r="AG2" s="954" t="s">
        <v>361</v>
      </c>
      <c r="AH2" s="948" t="s">
        <v>362</v>
      </c>
      <c r="AI2" s="954" t="s">
        <v>360</v>
      </c>
      <c r="AJ2" s="949" t="s">
        <v>363</v>
      </c>
      <c r="AK2" s="953" t="s">
        <v>345</v>
      </c>
      <c r="AL2" s="949" t="s">
        <v>364</v>
      </c>
      <c r="AM2" s="953" t="s">
        <v>345</v>
      </c>
      <c r="AN2" s="949" t="s">
        <v>365</v>
      </c>
      <c r="AO2" s="953" t="s">
        <v>345</v>
      </c>
      <c r="AP2" s="949" t="s">
        <v>366</v>
      </c>
      <c r="AQ2" s="953" t="s">
        <v>345</v>
      </c>
      <c r="AR2" s="958" t="s">
        <v>367</v>
      </c>
      <c r="AS2" s="948" t="s">
        <v>368</v>
      </c>
      <c r="AT2" s="956" t="s">
        <v>369</v>
      </c>
      <c r="AU2" s="956" t="s">
        <v>345</v>
      </c>
      <c r="AV2" s="956" t="s">
        <v>370</v>
      </c>
      <c r="AW2" s="956" t="s">
        <v>371</v>
      </c>
      <c r="AX2" s="954" t="s">
        <v>372</v>
      </c>
      <c r="AY2" s="954" t="s">
        <v>345</v>
      </c>
      <c r="AZ2" s="954" t="s">
        <v>368</v>
      </c>
    </row>
    <row r="3" spans="1:52" ht="27.75" customHeight="1" x14ac:dyDescent="0.2">
      <c r="A3" s="940"/>
      <c r="B3" s="941"/>
      <c r="C3" s="114" t="s">
        <v>373</v>
      </c>
      <c r="D3" s="114" t="s">
        <v>373</v>
      </c>
      <c r="E3" s="952"/>
      <c r="F3" s="114" t="s">
        <v>374</v>
      </c>
      <c r="G3" s="952"/>
      <c r="H3" s="114" t="s">
        <v>375</v>
      </c>
      <c r="I3" s="952"/>
      <c r="J3" s="114" t="s">
        <v>375</v>
      </c>
      <c r="K3" s="952"/>
      <c r="L3" s="952"/>
      <c r="M3" s="952"/>
      <c r="N3" s="952"/>
      <c r="O3" s="952"/>
      <c r="P3" s="952"/>
      <c r="Q3" s="953"/>
      <c r="R3" s="953"/>
      <c r="S3" s="953"/>
      <c r="T3" s="955"/>
      <c r="U3" s="949"/>
      <c r="V3" s="953"/>
      <c r="W3" s="957"/>
      <c r="X3" s="957"/>
      <c r="Y3" s="953"/>
      <c r="Z3" s="953"/>
      <c r="AA3" s="953"/>
      <c r="AB3" s="953"/>
      <c r="AC3" s="957"/>
      <c r="AD3" s="953"/>
      <c r="AE3" s="949"/>
      <c r="AF3" s="953"/>
      <c r="AG3" s="953"/>
      <c r="AH3" s="949"/>
      <c r="AI3" s="953"/>
      <c r="AJ3" s="949"/>
      <c r="AK3" s="953"/>
      <c r="AL3" s="949"/>
      <c r="AM3" s="953"/>
      <c r="AN3" s="949"/>
      <c r="AO3" s="953"/>
      <c r="AP3" s="949"/>
      <c r="AQ3" s="953"/>
      <c r="AR3" s="959"/>
      <c r="AS3" s="949"/>
      <c r="AT3" s="957"/>
      <c r="AU3" s="957"/>
      <c r="AV3" s="957"/>
      <c r="AW3" s="957"/>
      <c r="AX3" s="953"/>
      <c r="AY3" s="953"/>
      <c r="AZ3" s="953"/>
    </row>
    <row r="4" spans="1:52" ht="13.15" customHeight="1" x14ac:dyDescent="0.2">
      <c r="A4" s="115"/>
      <c r="B4" s="115"/>
      <c r="C4" s="116">
        <v>1</v>
      </c>
      <c r="D4" s="117" t="s">
        <v>376</v>
      </c>
      <c r="E4" s="117">
        <v>2</v>
      </c>
      <c r="F4" s="117" t="s">
        <v>377</v>
      </c>
      <c r="G4" s="117">
        <v>3</v>
      </c>
      <c r="H4" s="117" t="s">
        <v>378</v>
      </c>
      <c r="I4" s="117">
        <v>4</v>
      </c>
      <c r="J4" s="117" t="s">
        <v>379</v>
      </c>
      <c r="K4" s="116">
        <v>5</v>
      </c>
      <c r="L4" s="117" t="s">
        <v>380</v>
      </c>
      <c r="M4" s="117" t="s">
        <v>381</v>
      </c>
      <c r="N4" s="117">
        <v>6</v>
      </c>
      <c r="O4" s="117">
        <f t="shared" ref="O4:AZ4" si="0">N4+1</f>
        <v>7</v>
      </c>
      <c r="P4" s="117">
        <f t="shared" si="0"/>
        <v>8</v>
      </c>
      <c r="Q4" s="117">
        <f t="shared" si="0"/>
        <v>9</v>
      </c>
      <c r="R4" s="117">
        <f>Q4+1</f>
        <v>10</v>
      </c>
      <c r="S4" s="117">
        <f>R4+1</f>
        <v>11</v>
      </c>
      <c r="T4" s="117" t="s">
        <v>382</v>
      </c>
      <c r="U4" s="117">
        <v>12</v>
      </c>
      <c r="V4" s="117">
        <f t="shared" si="0"/>
        <v>13</v>
      </c>
      <c r="W4" s="117">
        <f t="shared" si="0"/>
        <v>14</v>
      </c>
      <c r="X4" s="117">
        <f t="shared" si="0"/>
        <v>15</v>
      </c>
      <c r="Y4" s="117">
        <f t="shared" si="0"/>
        <v>16</v>
      </c>
      <c r="Z4" s="117">
        <f t="shared" si="0"/>
        <v>17</v>
      </c>
      <c r="AA4" s="117">
        <f t="shared" si="0"/>
        <v>18</v>
      </c>
      <c r="AB4" s="117">
        <f>AA4+1</f>
        <v>19</v>
      </c>
      <c r="AC4" s="117">
        <f t="shared" si="0"/>
        <v>20</v>
      </c>
      <c r="AD4" s="117">
        <f t="shared" si="0"/>
        <v>21</v>
      </c>
      <c r="AE4" s="117">
        <f t="shared" si="0"/>
        <v>22</v>
      </c>
      <c r="AF4" s="117">
        <f>AE4+1</f>
        <v>23</v>
      </c>
      <c r="AG4" s="117">
        <f>AF4+1</f>
        <v>24</v>
      </c>
      <c r="AH4" s="117">
        <f t="shared" si="0"/>
        <v>25</v>
      </c>
      <c r="AI4" s="117">
        <f t="shared" si="0"/>
        <v>26</v>
      </c>
      <c r="AJ4" s="117">
        <f t="shared" si="0"/>
        <v>27</v>
      </c>
      <c r="AK4" s="117">
        <f t="shared" si="0"/>
        <v>28</v>
      </c>
      <c r="AL4" s="117">
        <f t="shared" si="0"/>
        <v>29</v>
      </c>
      <c r="AM4" s="117">
        <f t="shared" si="0"/>
        <v>30</v>
      </c>
      <c r="AN4" s="117">
        <f t="shared" si="0"/>
        <v>31</v>
      </c>
      <c r="AO4" s="117">
        <f t="shared" si="0"/>
        <v>32</v>
      </c>
      <c r="AP4" s="117">
        <f t="shared" si="0"/>
        <v>33</v>
      </c>
      <c r="AQ4" s="117">
        <f t="shared" si="0"/>
        <v>34</v>
      </c>
      <c r="AR4" s="117">
        <f t="shared" si="0"/>
        <v>35</v>
      </c>
      <c r="AS4" s="117">
        <f t="shared" si="0"/>
        <v>36</v>
      </c>
      <c r="AT4" s="117">
        <f t="shared" si="0"/>
        <v>37</v>
      </c>
      <c r="AU4" s="117">
        <f t="shared" si="0"/>
        <v>38</v>
      </c>
      <c r="AV4" s="117">
        <f t="shared" si="0"/>
        <v>39</v>
      </c>
      <c r="AW4" s="117">
        <f t="shared" si="0"/>
        <v>40</v>
      </c>
      <c r="AX4" s="117">
        <f t="shared" si="0"/>
        <v>41</v>
      </c>
      <c r="AY4" s="117">
        <f t="shared" si="0"/>
        <v>42</v>
      </c>
      <c r="AZ4" s="117">
        <f t="shared" si="0"/>
        <v>43</v>
      </c>
    </row>
    <row r="5" spans="1:52" ht="22.5" hidden="1" x14ac:dyDescent="0.2">
      <c r="A5" s="118"/>
      <c r="B5" s="118"/>
      <c r="C5" s="119" t="s">
        <v>73</v>
      </c>
      <c r="D5" s="120" t="s">
        <v>383</v>
      </c>
      <c r="E5" s="120" t="s">
        <v>74</v>
      </c>
      <c r="F5" s="120" t="s">
        <v>383</v>
      </c>
      <c r="G5" s="120" t="s">
        <v>74</v>
      </c>
      <c r="H5" s="120" t="s">
        <v>383</v>
      </c>
      <c r="I5" s="120" t="s">
        <v>74</v>
      </c>
      <c r="J5" s="120" t="s">
        <v>383</v>
      </c>
      <c r="K5" s="120" t="s">
        <v>74</v>
      </c>
      <c r="L5" s="120" t="s">
        <v>74</v>
      </c>
      <c r="M5" s="120" t="s">
        <v>74</v>
      </c>
      <c r="N5" s="120" t="s">
        <v>74</v>
      </c>
      <c r="O5" s="120" t="s">
        <v>74</v>
      </c>
      <c r="P5" s="120" t="s">
        <v>74</v>
      </c>
      <c r="Q5" s="120" t="s">
        <v>384</v>
      </c>
      <c r="R5" s="120" t="s">
        <v>74</v>
      </c>
      <c r="S5" s="120" t="s">
        <v>73</v>
      </c>
      <c r="T5" s="120" t="s">
        <v>74</v>
      </c>
      <c r="U5" s="120" t="s">
        <v>74</v>
      </c>
      <c r="V5" s="120" t="s">
        <v>74</v>
      </c>
      <c r="W5" s="120" t="s">
        <v>74</v>
      </c>
      <c r="X5" s="120" t="s">
        <v>74</v>
      </c>
      <c r="Y5" s="120" t="s">
        <v>73</v>
      </c>
      <c r="Z5" s="120" t="s">
        <v>74</v>
      </c>
      <c r="AA5" s="120" t="s">
        <v>74</v>
      </c>
      <c r="AB5" s="120" t="s">
        <v>74</v>
      </c>
      <c r="AC5" s="120" t="s">
        <v>74</v>
      </c>
      <c r="AD5" s="120" t="s">
        <v>74</v>
      </c>
      <c r="AE5" s="120" t="s">
        <v>74</v>
      </c>
      <c r="AF5" s="120" t="s">
        <v>74</v>
      </c>
      <c r="AG5" s="120" t="s">
        <v>74</v>
      </c>
      <c r="AH5" s="120" t="s">
        <v>74</v>
      </c>
      <c r="AI5" s="120" t="s">
        <v>74</v>
      </c>
      <c r="AJ5" s="120" t="s">
        <v>73</v>
      </c>
      <c r="AK5" s="120" t="s">
        <v>74</v>
      </c>
      <c r="AL5" s="120" t="s">
        <v>74</v>
      </c>
      <c r="AM5" s="120" t="s">
        <v>74</v>
      </c>
      <c r="AN5" s="120" t="s">
        <v>73</v>
      </c>
      <c r="AO5" s="120" t="s">
        <v>74</v>
      </c>
      <c r="AP5" s="120" t="s">
        <v>74</v>
      </c>
      <c r="AQ5" s="120" t="s">
        <v>74</v>
      </c>
      <c r="AR5" s="120" t="s">
        <v>74</v>
      </c>
      <c r="AS5" s="120" t="s">
        <v>74</v>
      </c>
      <c r="AT5" s="120" t="s">
        <v>74</v>
      </c>
      <c r="AU5" s="120" t="s">
        <v>74</v>
      </c>
      <c r="AV5" s="120" t="s">
        <v>74</v>
      </c>
      <c r="AW5" s="120" t="s">
        <v>74</v>
      </c>
      <c r="AX5" s="120" t="s">
        <v>74</v>
      </c>
      <c r="AY5" s="120" t="s">
        <v>74</v>
      </c>
      <c r="AZ5" s="120" t="s">
        <v>74</v>
      </c>
    </row>
    <row r="6" spans="1:52" ht="33.75" x14ac:dyDescent="0.2">
      <c r="A6" s="118"/>
      <c r="B6" s="118"/>
      <c r="C6" s="119" t="s">
        <v>385</v>
      </c>
      <c r="D6" s="33" t="s">
        <v>386</v>
      </c>
      <c r="E6" s="120" t="s">
        <v>387</v>
      </c>
      <c r="F6" s="33" t="s">
        <v>388</v>
      </c>
      <c r="G6" s="120" t="s">
        <v>389</v>
      </c>
      <c r="H6" s="120" t="s">
        <v>390</v>
      </c>
      <c r="I6" s="120" t="s">
        <v>391</v>
      </c>
      <c r="J6" s="120" t="s">
        <v>392</v>
      </c>
      <c r="K6" s="120" t="s">
        <v>393</v>
      </c>
      <c r="L6" s="120" t="s">
        <v>394</v>
      </c>
      <c r="M6" s="120" t="s">
        <v>395</v>
      </c>
      <c r="N6" s="120" t="s">
        <v>396</v>
      </c>
      <c r="O6" s="120" t="s">
        <v>397</v>
      </c>
      <c r="P6" s="120" t="s">
        <v>398</v>
      </c>
      <c r="Q6" s="120" t="s">
        <v>384</v>
      </c>
      <c r="R6" s="120" t="s">
        <v>399</v>
      </c>
      <c r="S6" s="120" t="s">
        <v>400</v>
      </c>
      <c r="T6" s="120" t="s">
        <v>401</v>
      </c>
      <c r="U6" s="120" t="s">
        <v>402</v>
      </c>
      <c r="V6" s="120" t="s">
        <v>403</v>
      </c>
      <c r="W6" s="120" t="s">
        <v>404</v>
      </c>
      <c r="X6" s="120" t="s">
        <v>405</v>
      </c>
      <c r="Y6" s="120" t="s">
        <v>406</v>
      </c>
      <c r="Z6" s="120" t="s">
        <v>407</v>
      </c>
      <c r="AA6" s="120" t="s">
        <v>408</v>
      </c>
      <c r="AB6" s="120" t="s">
        <v>409</v>
      </c>
      <c r="AC6" s="120" t="s">
        <v>410</v>
      </c>
      <c r="AD6" s="120" t="s">
        <v>411</v>
      </c>
      <c r="AE6" s="120" t="s">
        <v>412</v>
      </c>
      <c r="AF6" s="120" t="s">
        <v>413</v>
      </c>
      <c r="AG6" s="120" t="s">
        <v>414</v>
      </c>
      <c r="AH6" s="120" t="s">
        <v>415</v>
      </c>
      <c r="AI6" s="120" t="s">
        <v>416</v>
      </c>
      <c r="AJ6" s="120" t="s">
        <v>417</v>
      </c>
      <c r="AK6" s="120" t="s">
        <v>418</v>
      </c>
      <c r="AL6" s="120" t="s">
        <v>419</v>
      </c>
      <c r="AM6" s="120" t="s">
        <v>420</v>
      </c>
      <c r="AN6" s="120" t="s">
        <v>421</v>
      </c>
      <c r="AO6" s="120" t="s">
        <v>422</v>
      </c>
      <c r="AP6" s="120" t="s">
        <v>423</v>
      </c>
      <c r="AQ6" s="120" t="s">
        <v>424</v>
      </c>
      <c r="AR6" s="120" t="s">
        <v>425</v>
      </c>
      <c r="AS6" s="120" t="s">
        <v>426</v>
      </c>
      <c r="AT6" s="120" t="s">
        <v>427</v>
      </c>
      <c r="AU6" s="120" t="s">
        <v>428</v>
      </c>
      <c r="AV6" s="120" t="s">
        <v>426</v>
      </c>
      <c r="AW6" s="120" t="s">
        <v>429</v>
      </c>
      <c r="AX6" s="120" t="s">
        <v>430</v>
      </c>
      <c r="AY6" s="120" t="s">
        <v>431</v>
      </c>
      <c r="AZ6" s="120" t="s">
        <v>426</v>
      </c>
    </row>
    <row r="7" spans="1:52" ht="15.6" customHeight="1" x14ac:dyDescent="0.2">
      <c r="A7" s="121">
        <v>1</v>
      </c>
      <c r="B7" s="122" t="s">
        <v>131</v>
      </c>
      <c r="C7" s="123">
        <f>'8_2.1.21 SIS'!AV7</f>
        <v>9297</v>
      </c>
      <c r="D7" s="123">
        <v>6947</v>
      </c>
      <c r="E7" s="123">
        <f>$D$1*D7</f>
        <v>1528.34</v>
      </c>
      <c r="F7" s="124">
        <v>3874.5</v>
      </c>
      <c r="G7" s="123">
        <f>$F$1*F7</f>
        <v>232.47</v>
      </c>
      <c r="H7" s="123">
        <v>1071</v>
      </c>
      <c r="I7" s="123">
        <f>$H$1*H7</f>
        <v>1606.5</v>
      </c>
      <c r="J7" s="123">
        <v>68</v>
      </c>
      <c r="K7" s="123">
        <f>$J$1*J7</f>
        <v>40.799999999999997</v>
      </c>
      <c r="L7" s="125">
        <f t="shared" ref="L7:L70" si="1">IF(C7&lt;$L$1,$L$1-C7,0)</f>
        <v>0</v>
      </c>
      <c r="M7" s="126">
        <f t="shared" ref="M7:M70" si="2">ROUND(L7/$M$1,5)</f>
        <v>0</v>
      </c>
      <c r="N7" s="123">
        <f t="shared" ref="N7:N70" si="3">C7*M7</f>
        <v>0</v>
      </c>
      <c r="O7" s="123">
        <f>E7+G7+I7+K7+N7</f>
        <v>3408.11</v>
      </c>
      <c r="P7" s="123">
        <f t="shared" ref="P7:P70" si="4">O7+C7</f>
        <v>12705.11</v>
      </c>
      <c r="Q7" s="127">
        <f>$Q$1</f>
        <v>4015</v>
      </c>
      <c r="R7" s="127">
        <f t="shared" ref="R7:R70" si="5">ROUND(P7*Q7,0)</f>
        <v>51011017</v>
      </c>
      <c r="S7" s="127">
        <f>'6_Local Deduct Calc'!J7</f>
        <v>12016662</v>
      </c>
      <c r="T7" s="127">
        <f>ROUND(IF((S7&gt;R7*$T$1),R7*$T$1,S7),0)</f>
        <v>12016662</v>
      </c>
      <c r="U7" s="128">
        <f>R7-T7</f>
        <v>38994355</v>
      </c>
      <c r="V7" s="129">
        <f>ROUND(U7/R7,4)</f>
        <v>0.76439999999999997</v>
      </c>
      <c r="W7" s="129">
        <f>ROUND(T7/R7,4)</f>
        <v>0.2356</v>
      </c>
      <c r="X7" s="130">
        <f t="shared" ref="X7:X70" si="6">T7/C7</f>
        <v>1292.5311390771217</v>
      </c>
      <c r="Y7" s="127">
        <f>'7_Local Revenue'!AS7</f>
        <v>24766410</v>
      </c>
      <c r="Z7" s="127">
        <f>IF(Y7-T7&gt;0,Y7-T7,0)</f>
        <v>12749748</v>
      </c>
      <c r="AA7" s="131">
        <f>IF(Y7-T7&lt;0,Y7-T7,0)</f>
        <v>0</v>
      </c>
      <c r="AB7" s="131">
        <f t="shared" ref="AB7:AB70" si="7">R7*$AB$1</f>
        <v>17343745.780000001</v>
      </c>
      <c r="AC7" s="131">
        <f t="shared" ref="AC7:AC70" si="8">IF(Z7&lt;AB7,Z7,AB7)</f>
        <v>12749748</v>
      </c>
      <c r="AD7" s="127">
        <f t="shared" ref="AD7:AD70" si="9">IF(AC7&gt;0,AC7*(W7*$AD$1),0)</f>
        <v>5166605.8815359995</v>
      </c>
      <c r="AE7" s="132">
        <f>ROUND(IF(AC7-AD7&gt;AC7*$AE$1,AC7-AD7,AC7*$AE$1),0)</f>
        <v>7583142</v>
      </c>
      <c r="AF7" s="131">
        <f t="shared" ref="AF7:AF70" si="10">ROUND(AE7/C7,0)</f>
        <v>816</v>
      </c>
      <c r="AG7" s="133">
        <f>IF(AC7=0,0,ROUND(AE7/AC7,4))</f>
        <v>0.5948</v>
      </c>
      <c r="AH7" s="132">
        <f t="shared" ref="AH7:AH70" si="11">U7+AE7</f>
        <v>46577497</v>
      </c>
      <c r="AI7" s="131">
        <f t="shared" ref="AI7:AI70" si="12">ROUND(AH7/C7,0)</f>
        <v>5010</v>
      </c>
      <c r="AJ7" s="132">
        <f>'3A_Level 3'!J7</f>
        <v>1593109</v>
      </c>
      <c r="AK7" s="131">
        <f t="shared" ref="AK7:AK70" si="13">AJ7/C7</f>
        <v>171.35731956545123</v>
      </c>
      <c r="AL7" s="132">
        <f>AJ7+AH7</f>
        <v>48170606</v>
      </c>
      <c r="AM7" s="131">
        <f t="shared" ref="AM7:AM70" si="14">AL7/C7</f>
        <v>5181.3064429385822</v>
      </c>
      <c r="AN7" s="134">
        <f>'3A_Level 3'!K7</f>
        <v>8821341</v>
      </c>
      <c r="AO7" s="135">
        <f t="shared" ref="AO7:AO70" si="15">AN7/C7</f>
        <v>948.83736689254602</v>
      </c>
      <c r="AP7" s="132">
        <f>AH7+AN7</f>
        <v>55398838</v>
      </c>
      <c r="AQ7" s="131">
        <f t="shared" ref="AQ7:AQ70" si="16">AP7/C7</f>
        <v>5958.7864902656775</v>
      </c>
      <c r="AR7" s="133">
        <f>AP7/AX7</f>
        <v>0.69105802554243956</v>
      </c>
      <c r="AS7" s="136">
        <f>RANK(AR7,$AR$7:$AR$75)</f>
        <v>15</v>
      </c>
      <c r="AT7" s="131">
        <f t="shared" ref="AT7:AT70" si="17">ROUND(AC7+T7,2)</f>
        <v>24766410</v>
      </c>
      <c r="AU7" s="131">
        <f t="shared" ref="AU7:AU70" si="18">ROUND(AT7/C7,2)</f>
        <v>2663.91</v>
      </c>
      <c r="AV7" s="136">
        <f>RANK(AU7,$AU$7:$AU$75)</f>
        <v>64</v>
      </c>
      <c r="AW7" s="133">
        <f>AT7/AX7</f>
        <v>0.30894197445756044</v>
      </c>
      <c r="AX7" s="135">
        <f>AP7+AT7</f>
        <v>80165248</v>
      </c>
      <c r="AY7" s="135">
        <f t="shared" ref="AY7:AY70" si="19">AX7/C7</f>
        <v>8622.7006561256312</v>
      </c>
      <c r="AZ7" s="136">
        <f>RANK(AY7,$AY$7:$AY$75)</f>
        <v>66</v>
      </c>
    </row>
    <row r="8" spans="1:52" ht="15.6" customHeight="1" x14ac:dyDescent="0.2">
      <c r="A8" s="121">
        <v>2</v>
      </c>
      <c r="B8" s="122" t="s">
        <v>132</v>
      </c>
      <c r="C8" s="137">
        <f>'8_2.1.21 SIS'!AV8</f>
        <v>3884</v>
      </c>
      <c r="D8" s="123">
        <v>3065</v>
      </c>
      <c r="E8" s="123">
        <f t="shared" ref="E8:E71" si="20">$D$1*D8</f>
        <v>674.3</v>
      </c>
      <c r="F8" s="124">
        <v>1815.5</v>
      </c>
      <c r="G8" s="123">
        <f t="shared" ref="G8:G71" si="21">$F$1*F8</f>
        <v>108.92999999999999</v>
      </c>
      <c r="H8" s="123">
        <v>448</v>
      </c>
      <c r="I8" s="123">
        <f t="shared" ref="I8:I71" si="22">$H$1*H8</f>
        <v>672</v>
      </c>
      <c r="J8" s="123">
        <v>34</v>
      </c>
      <c r="K8" s="123">
        <f t="shared" ref="K8:K71" si="23">$J$1*J8</f>
        <v>20.399999999999999</v>
      </c>
      <c r="L8" s="123">
        <f t="shared" si="1"/>
        <v>3616</v>
      </c>
      <c r="M8" s="126">
        <f t="shared" si="2"/>
        <v>9.6430000000000002E-2</v>
      </c>
      <c r="N8" s="123">
        <f t="shared" si="3"/>
        <v>374.53412000000003</v>
      </c>
      <c r="O8" s="123">
        <f t="shared" ref="O8:O71" si="24">E8+G8+I8+K8+N8</f>
        <v>1850.1641200000001</v>
      </c>
      <c r="P8" s="123">
        <f t="shared" si="4"/>
        <v>5734.1641200000004</v>
      </c>
      <c r="Q8" s="127">
        <f t="shared" ref="Q8:Q71" si="25">$Q$1</f>
        <v>4015</v>
      </c>
      <c r="R8" s="127">
        <f t="shared" si="5"/>
        <v>23022669</v>
      </c>
      <c r="S8" s="127">
        <f>'6_Local Deduct Calc'!J8</f>
        <v>3609666</v>
      </c>
      <c r="T8" s="127">
        <f t="shared" ref="T8:T71" si="26">ROUND(IF((S8&gt;R8*$T$1),R8*$T$1,S8),0)</f>
        <v>3609666</v>
      </c>
      <c r="U8" s="128">
        <f t="shared" ref="U8:U71" si="27">R8-T8</f>
        <v>19413003</v>
      </c>
      <c r="V8" s="129">
        <f>ROUND(U8/R8,4)</f>
        <v>0.84319999999999995</v>
      </c>
      <c r="W8" s="129">
        <f t="shared" ref="W8:W71" si="28">ROUND(T8/R8,4)</f>
        <v>0.15679999999999999</v>
      </c>
      <c r="X8" s="130">
        <f t="shared" si="6"/>
        <v>929.36817713697224</v>
      </c>
      <c r="Y8" s="127">
        <f>'7_Local Revenue'!AS8</f>
        <v>13558368</v>
      </c>
      <c r="Z8" s="127">
        <f t="shared" ref="Z8:Z71" si="29">IF(Y8-T8&gt;0,Y8-T8,0)</f>
        <v>9948702</v>
      </c>
      <c r="AA8" s="131">
        <f t="shared" ref="AA8:AA71" si="30">IF(Y8-T8&lt;0,Y8-T8,0)</f>
        <v>0</v>
      </c>
      <c r="AB8" s="131">
        <f t="shared" si="7"/>
        <v>7827707.4600000009</v>
      </c>
      <c r="AC8" s="131">
        <f t="shared" si="8"/>
        <v>7827707.4600000009</v>
      </c>
      <c r="AD8" s="127">
        <f t="shared" si="9"/>
        <v>2111101.3911321601</v>
      </c>
      <c r="AE8" s="132">
        <f t="shared" ref="AE8:AE71" si="31">ROUND(IF(AC8-AD8&gt;AC8*$AE$1,AC8-AD8,AC8*$AE$1),0)</f>
        <v>5716606</v>
      </c>
      <c r="AF8" s="131">
        <f t="shared" si="10"/>
        <v>1472</v>
      </c>
      <c r="AG8" s="133">
        <f t="shared" ref="AG8:AG71" si="32">IF(AC8=0,0,ROUND(AE8/AC8,4))</f>
        <v>0.73029999999999995</v>
      </c>
      <c r="AH8" s="132">
        <f t="shared" si="11"/>
        <v>25129609</v>
      </c>
      <c r="AI8" s="131">
        <f t="shared" si="12"/>
        <v>6470</v>
      </c>
      <c r="AJ8" s="132">
        <f>'3A_Level 3'!J8</f>
        <v>665552</v>
      </c>
      <c r="AK8" s="131">
        <f t="shared" si="13"/>
        <v>171.35736354273945</v>
      </c>
      <c r="AL8" s="132">
        <f t="shared" ref="AL8:AL71" si="33">AJ8+AH8</f>
        <v>25795161</v>
      </c>
      <c r="AM8" s="131">
        <f t="shared" si="14"/>
        <v>6641.3905767250253</v>
      </c>
      <c r="AN8" s="134">
        <f>'3A_Level 3'!K8</f>
        <v>3937123</v>
      </c>
      <c r="AO8" s="135">
        <f t="shared" si="15"/>
        <v>1013.677394438723</v>
      </c>
      <c r="AP8" s="132">
        <f t="shared" ref="AP8:AP71" si="34">AH8+AN8</f>
        <v>29066732</v>
      </c>
      <c r="AQ8" s="131">
        <f t="shared" si="16"/>
        <v>7483.7106076210093</v>
      </c>
      <c r="AR8" s="133">
        <f t="shared" ref="AR8:AR71" si="35">AP8/AX8</f>
        <v>0.71762434128325514</v>
      </c>
      <c r="AS8" s="136">
        <f t="shared" ref="AS8:AS71" si="36">RANK(AR8,$AR$7:$AR$75)</f>
        <v>6</v>
      </c>
      <c r="AT8" s="131">
        <f t="shared" si="17"/>
        <v>11437373.460000001</v>
      </c>
      <c r="AU8" s="131">
        <f t="shared" si="18"/>
        <v>2944.74</v>
      </c>
      <c r="AV8" s="136">
        <f t="shared" ref="AV8:AV71" si="37">RANK(AU8,$AU$7:$AU$75)</f>
        <v>58</v>
      </c>
      <c r="AW8" s="133">
        <f t="shared" ref="AW8:AW71" si="38">AT8/AX8</f>
        <v>0.2823756587167448</v>
      </c>
      <c r="AX8" s="135">
        <f t="shared" ref="AX8:AX71" si="39">AP8+AT8</f>
        <v>40504105.460000001</v>
      </c>
      <c r="AY8" s="135">
        <f t="shared" si="19"/>
        <v>10428.451457260557</v>
      </c>
      <c r="AZ8" s="136">
        <f t="shared" ref="AZ8:AZ71" si="40">RANK(AY8,$AY$7:$AY$75)</f>
        <v>12</v>
      </c>
    </row>
    <row r="9" spans="1:52" ht="15.6" customHeight="1" x14ac:dyDescent="0.2">
      <c r="A9" s="121">
        <v>3</v>
      </c>
      <c r="B9" s="122" t="s">
        <v>133</v>
      </c>
      <c r="C9" s="137">
        <f>'8_2.1.21 SIS'!AV9</f>
        <v>23004</v>
      </c>
      <c r="D9" s="123">
        <v>12533</v>
      </c>
      <c r="E9" s="123">
        <f t="shared" si="20"/>
        <v>2757.26</v>
      </c>
      <c r="F9" s="124">
        <v>11725.5</v>
      </c>
      <c r="G9" s="123">
        <f t="shared" si="21"/>
        <v>703.53</v>
      </c>
      <c r="H9" s="123">
        <v>2336</v>
      </c>
      <c r="I9" s="123">
        <f t="shared" si="22"/>
        <v>3504</v>
      </c>
      <c r="J9" s="123">
        <v>531</v>
      </c>
      <c r="K9" s="123">
        <f t="shared" si="23"/>
        <v>318.59999999999997</v>
      </c>
      <c r="L9" s="123">
        <f t="shared" si="1"/>
        <v>0</v>
      </c>
      <c r="M9" s="126">
        <f t="shared" si="2"/>
        <v>0</v>
      </c>
      <c r="N9" s="123">
        <f t="shared" si="3"/>
        <v>0</v>
      </c>
      <c r="O9" s="123">
        <f t="shared" si="24"/>
        <v>7283.39</v>
      </c>
      <c r="P9" s="123">
        <f t="shared" si="4"/>
        <v>30287.39</v>
      </c>
      <c r="Q9" s="127">
        <f t="shared" si="25"/>
        <v>4015</v>
      </c>
      <c r="R9" s="127">
        <f t="shared" si="5"/>
        <v>121603871</v>
      </c>
      <c r="S9" s="127">
        <f>'6_Local Deduct Calc'!J9</f>
        <v>44255909</v>
      </c>
      <c r="T9" s="127">
        <f t="shared" si="26"/>
        <v>44255909</v>
      </c>
      <c r="U9" s="128">
        <f t="shared" si="27"/>
        <v>77347962</v>
      </c>
      <c r="V9" s="129">
        <f t="shared" ref="V9:V71" si="41">ROUND(U9/R9,4)</f>
        <v>0.6361</v>
      </c>
      <c r="W9" s="129">
        <f t="shared" si="28"/>
        <v>0.3639</v>
      </c>
      <c r="X9" s="130">
        <f t="shared" si="6"/>
        <v>1923.8353764562685</v>
      </c>
      <c r="Y9" s="127">
        <f>'7_Local Revenue'!AS9</f>
        <v>155271289</v>
      </c>
      <c r="Z9" s="127">
        <f t="shared" si="29"/>
        <v>111015380</v>
      </c>
      <c r="AA9" s="131">
        <f t="shared" si="30"/>
        <v>0</v>
      </c>
      <c r="AB9" s="131">
        <f t="shared" si="7"/>
        <v>41345316.140000001</v>
      </c>
      <c r="AC9" s="131">
        <f t="shared" si="8"/>
        <v>41345316.140000001</v>
      </c>
      <c r="AD9" s="127">
        <f t="shared" si="9"/>
        <v>25878364.13455512</v>
      </c>
      <c r="AE9" s="132">
        <f t="shared" si="31"/>
        <v>15466952</v>
      </c>
      <c r="AF9" s="131">
        <f t="shared" si="10"/>
        <v>672</v>
      </c>
      <c r="AG9" s="133">
        <f t="shared" si="32"/>
        <v>0.37409999999999999</v>
      </c>
      <c r="AH9" s="132">
        <f t="shared" si="11"/>
        <v>92814914</v>
      </c>
      <c r="AI9" s="131">
        <f t="shared" si="12"/>
        <v>4035</v>
      </c>
      <c r="AJ9" s="132">
        <f>'3A_Level 3'!J9</f>
        <v>3941903</v>
      </c>
      <c r="AK9" s="131">
        <f t="shared" si="13"/>
        <v>171.35728568944532</v>
      </c>
      <c r="AL9" s="132">
        <f>AJ9+AH9</f>
        <v>96756817</v>
      </c>
      <c r="AM9" s="131">
        <f t="shared" si="14"/>
        <v>4206.0866371065904</v>
      </c>
      <c r="AN9" s="134">
        <f>'3A_Level 3'!K9</f>
        <v>17671610</v>
      </c>
      <c r="AO9" s="135">
        <f t="shared" si="15"/>
        <v>768.1972700399931</v>
      </c>
      <c r="AP9" s="132">
        <f t="shared" si="34"/>
        <v>110486524</v>
      </c>
      <c r="AQ9" s="131">
        <f t="shared" si="16"/>
        <v>4802.926621457138</v>
      </c>
      <c r="AR9" s="133">
        <f t="shared" si="35"/>
        <v>0.56345449669635594</v>
      </c>
      <c r="AS9" s="136">
        <f t="shared" si="36"/>
        <v>49</v>
      </c>
      <c r="AT9" s="131">
        <f t="shared" si="17"/>
        <v>85601225.140000001</v>
      </c>
      <c r="AU9" s="131">
        <f t="shared" si="18"/>
        <v>3721.15</v>
      </c>
      <c r="AV9" s="136">
        <f t="shared" si="37"/>
        <v>32</v>
      </c>
      <c r="AW9" s="133">
        <f t="shared" si="38"/>
        <v>0.43654550330364411</v>
      </c>
      <c r="AX9" s="135">
        <f t="shared" si="39"/>
        <v>196087749.13999999</v>
      </c>
      <c r="AY9" s="135">
        <f t="shared" si="19"/>
        <v>8524.0718631542331</v>
      </c>
      <c r="AZ9" s="136">
        <f t="shared" si="40"/>
        <v>69</v>
      </c>
    </row>
    <row r="10" spans="1:52" ht="15.6" customHeight="1" x14ac:dyDescent="0.2">
      <c r="A10" s="121">
        <v>4</v>
      </c>
      <c r="B10" s="122" t="s">
        <v>134</v>
      </c>
      <c r="C10" s="137">
        <f>'8_2.1.21 SIS'!AV10</f>
        <v>2961</v>
      </c>
      <c r="D10" s="123">
        <v>2089</v>
      </c>
      <c r="E10" s="123">
        <f t="shared" si="20"/>
        <v>459.58</v>
      </c>
      <c r="F10" s="124">
        <v>1170</v>
      </c>
      <c r="G10" s="123">
        <f t="shared" si="21"/>
        <v>70.2</v>
      </c>
      <c r="H10" s="123">
        <v>453</v>
      </c>
      <c r="I10" s="123">
        <f t="shared" si="22"/>
        <v>679.5</v>
      </c>
      <c r="J10" s="123">
        <v>97</v>
      </c>
      <c r="K10" s="123">
        <f t="shared" si="23"/>
        <v>58.199999999999996</v>
      </c>
      <c r="L10" s="123">
        <f t="shared" si="1"/>
        <v>4539</v>
      </c>
      <c r="M10" s="126">
        <f t="shared" si="2"/>
        <v>0.12103999999999999</v>
      </c>
      <c r="N10" s="123">
        <f t="shared" si="3"/>
        <v>358.39943999999997</v>
      </c>
      <c r="O10" s="123">
        <f t="shared" si="24"/>
        <v>1625.8794399999999</v>
      </c>
      <c r="P10" s="123">
        <f t="shared" si="4"/>
        <v>4586.8794399999997</v>
      </c>
      <c r="Q10" s="127">
        <f t="shared" si="25"/>
        <v>4015</v>
      </c>
      <c r="R10" s="127">
        <f t="shared" si="5"/>
        <v>18416321</v>
      </c>
      <c r="S10" s="127">
        <f>'6_Local Deduct Calc'!J10</f>
        <v>4486802</v>
      </c>
      <c r="T10" s="127">
        <f t="shared" si="26"/>
        <v>4486802</v>
      </c>
      <c r="U10" s="128">
        <f t="shared" si="27"/>
        <v>13929519</v>
      </c>
      <c r="V10" s="129">
        <f t="shared" si="41"/>
        <v>0.75639999999999996</v>
      </c>
      <c r="W10" s="129">
        <f t="shared" si="28"/>
        <v>0.24360000000000001</v>
      </c>
      <c r="X10" s="130">
        <f t="shared" si="6"/>
        <v>1515.2995609591355</v>
      </c>
      <c r="Y10" s="127">
        <f>'7_Local Revenue'!AS10</f>
        <v>14366061</v>
      </c>
      <c r="Z10" s="127">
        <f t="shared" si="29"/>
        <v>9879259</v>
      </c>
      <c r="AA10" s="131">
        <f t="shared" si="30"/>
        <v>0</v>
      </c>
      <c r="AB10" s="131">
        <f t="shared" si="7"/>
        <v>6261549.1400000006</v>
      </c>
      <c r="AC10" s="131">
        <f t="shared" si="8"/>
        <v>6261549.1400000006</v>
      </c>
      <c r="AD10" s="127">
        <f t="shared" si="9"/>
        <v>2623538.9972668802</v>
      </c>
      <c r="AE10" s="132">
        <f t="shared" si="31"/>
        <v>3638010</v>
      </c>
      <c r="AF10" s="131">
        <f t="shared" si="10"/>
        <v>1229</v>
      </c>
      <c r="AG10" s="133">
        <f t="shared" si="32"/>
        <v>0.58099999999999996</v>
      </c>
      <c r="AH10" s="132">
        <f t="shared" si="11"/>
        <v>17567529</v>
      </c>
      <c r="AI10" s="131">
        <f t="shared" si="12"/>
        <v>5933</v>
      </c>
      <c r="AJ10" s="132">
        <f>'3A_Level 3'!J10</f>
        <v>507389</v>
      </c>
      <c r="AK10" s="131">
        <f t="shared" si="13"/>
        <v>171.35731171901384</v>
      </c>
      <c r="AL10" s="132">
        <f t="shared" si="33"/>
        <v>18074918</v>
      </c>
      <c r="AM10" s="131">
        <f t="shared" si="14"/>
        <v>6104.3289429246879</v>
      </c>
      <c r="AN10" s="134">
        <f>'3A_Level 3'!K10</f>
        <v>2241824</v>
      </c>
      <c r="AO10" s="135">
        <f t="shared" si="15"/>
        <v>757.11719013846675</v>
      </c>
      <c r="AP10" s="132">
        <f t="shared" si="34"/>
        <v>19809353</v>
      </c>
      <c r="AQ10" s="131">
        <f t="shared" si="16"/>
        <v>6690.0888213441403</v>
      </c>
      <c r="AR10" s="133">
        <f t="shared" si="35"/>
        <v>0.64826051424686648</v>
      </c>
      <c r="AS10" s="136">
        <f t="shared" si="36"/>
        <v>28</v>
      </c>
      <c r="AT10" s="131">
        <f t="shared" si="17"/>
        <v>10748351.140000001</v>
      </c>
      <c r="AU10" s="131">
        <f t="shared" si="18"/>
        <v>3629.97</v>
      </c>
      <c r="AV10" s="136">
        <f t="shared" si="37"/>
        <v>36</v>
      </c>
      <c r="AW10" s="133">
        <f t="shared" si="38"/>
        <v>0.35173948575313357</v>
      </c>
      <c r="AX10" s="135">
        <f t="shared" si="39"/>
        <v>30557704.140000001</v>
      </c>
      <c r="AY10" s="135">
        <f t="shared" si="19"/>
        <v>10320.062188449849</v>
      </c>
      <c r="AZ10" s="136">
        <f t="shared" si="40"/>
        <v>14</v>
      </c>
    </row>
    <row r="11" spans="1:52" ht="15.6" customHeight="1" x14ac:dyDescent="0.2">
      <c r="A11" s="138">
        <v>5</v>
      </c>
      <c r="B11" s="139" t="s">
        <v>135</v>
      </c>
      <c r="C11" s="140">
        <f>'8_2.1.21 SIS'!AV11</f>
        <v>5223</v>
      </c>
      <c r="D11" s="141">
        <v>4331</v>
      </c>
      <c r="E11" s="141">
        <f t="shared" si="20"/>
        <v>952.82</v>
      </c>
      <c r="F11" s="142">
        <v>3409</v>
      </c>
      <c r="G11" s="141">
        <f t="shared" si="21"/>
        <v>204.54</v>
      </c>
      <c r="H11" s="141">
        <v>617</v>
      </c>
      <c r="I11" s="141">
        <f t="shared" si="22"/>
        <v>925.5</v>
      </c>
      <c r="J11" s="141">
        <v>12</v>
      </c>
      <c r="K11" s="141">
        <f t="shared" si="23"/>
        <v>7.1999999999999993</v>
      </c>
      <c r="L11" s="141">
        <f t="shared" si="1"/>
        <v>2277</v>
      </c>
      <c r="M11" s="143">
        <f t="shared" si="2"/>
        <v>6.0720000000000003E-2</v>
      </c>
      <c r="N11" s="141">
        <f t="shared" si="3"/>
        <v>317.14055999999999</v>
      </c>
      <c r="O11" s="141">
        <f t="shared" si="24"/>
        <v>2407.2005599999998</v>
      </c>
      <c r="P11" s="144">
        <f t="shared" si="4"/>
        <v>7630.2005599999993</v>
      </c>
      <c r="Q11" s="145">
        <f t="shared" si="25"/>
        <v>4015</v>
      </c>
      <c r="R11" s="145">
        <f t="shared" si="5"/>
        <v>30635255</v>
      </c>
      <c r="S11" s="145">
        <f>'6_Local Deduct Calc'!J11</f>
        <v>5886165</v>
      </c>
      <c r="T11" s="145">
        <f t="shared" si="26"/>
        <v>5886165</v>
      </c>
      <c r="U11" s="146">
        <f t="shared" si="27"/>
        <v>24749090</v>
      </c>
      <c r="V11" s="147">
        <f t="shared" si="41"/>
        <v>0.80789999999999995</v>
      </c>
      <c r="W11" s="148">
        <f t="shared" si="28"/>
        <v>0.19209999999999999</v>
      </c>
      <c r="X11" s="149">
        <f t="shared" si="6"/>
        <v>1126.970132107984</v>
      </c>
      <c r="Y11" s="145">
        <f>'7_Local Revenue'!AS11</f>
        <v>12272789</v>
      </c>
      <c r="Z11" s="145">
        <f t="shared" si="29"/>
        <v>6386624</v>
      </c>
      <c r="AA11" s="150">
        <f t="shared" si="30"/>
        <v>0</v>
      </c>
      <c r="AB11" s="150">
        <f t="shared" si="7"/>
        <v>10415986.700000001</v>
      </c>
      <c r="AC11" s="150">
        <f t="shared" si="8"/>
        <v>6386624</v>
      </c>
      <c r="AD11" s="145">
        <f t="shared" si="9"/>
        <v>2110217.209088</v>
      </c>
      <c r="AE11" s="151">
        <f t="shared" si="31"/>
        <v>4276407</v>
      </c>
      <c r="AF11" s="150">
        <f t="shared" si="10"/>
        <v>819</v>
      </c>
      <c r="AG11" s="152">
        <f t="shared" si="32"/>
        <v>0.66959999999999997</v>
      </c>
      <c r="AH11" s="151">
        <f t="shared" si="11"/>
        <v>29025497</v>
      </c>
      <c r="AI11" s="150">
        <f t="shared" si="12"/>
        <v>5557</v>
      </c>
      <c r="AJ11" s="151">
        <f>'3A_Level 3'!J11</f>
        <v>894999</v>
      </c>
      <c r="AK11" s="150">
        <f t="shared" si="13"/>
        <v>171.35726593911545</v>
      </c>
      <c r="AL11" s="151">
        <f t="shared" si="33"/>
        <v>29920496</v>
      </c>
      <c r="AM11" s="150">
        <f t="shared" si="14"/>
        <v>5728.6034845874019</v>
      </c>
      <c r="AN11" s="153">
        <f>'3A_Level 3'!K11</f>
        <v>3798517</v>
      </c>
      <c r="AO11" s="154">
        <f t="shared" si="15"/>
        <v>727.26727934137466</v>
      </c>
      <c r="AP11" s="151">
        <f t="shared" si="34"/>
        <v>32824014</v>
      </c>
      <c r="AQ11" s="150">
        <f t="shared" si="16"/>
        <v>6284.5134979896611</v>
      </c>
      <c r="AR11" s="152">
        <f t="shared" si="35"/>
        <v>0.72785678399420017</v>
      </c>
      <c r="AS11" s="155">
        <f t="shared" si="36"/>
        <v>3</v>
      </c>
      <c r="AT11" s="150">
        <f t="shared" si="17"/>
        <v>12272789</v>
      </c>
      <c r="AU11" s="150">
        <f t="shared" si="18"/>
        <v>2349.7600000000002</v>
      </c>
      <c r="AV11" s="155">
        <f t="shared" si="37"/>
        <v>67</v>
      </c>
      <c r="AW11" s="152">
        <f t="shared" si="38"/>
        <v>0.27214321600579977</v>
      </c>
      <c r="AX11" s="154">
        <f t="shared" si="39"/>
        <v>45096803</v>
      </c>
      <c r="AY11" s="154">
        <f t="shared" si="19"/>
        <v>8634.2720658625312</v>
      </c>
      <c r="AZ11" s="155">
        <f t="shared" si="40"/>
        <v>65</v>
      </c>
    </row>
    <row r="12" spans="1:52" ht="15.6" customHeight="1" x14ac:dyDescent="0.2">
      <c r="A12" s="121">
        <v>6</v>
      </c>
      <c r="B12" s="122" t="s">
        <v>136</v>
      </c>
      <c r="C12" s="123">
        <f>'8_2.1.21 SIS'!AV12</f>
        <v>5630</v>
      </c>
      <c r="D12" s="123">
        <v>3916</v>
      </c>
      <c r="E12" s="123">
        <f t="shared" si="20"/>
        <v>861.52</v>
      </c>
      <c r="F12" s="124">
        <v>2006</v>
      </c>
      <c r="G12" s="123">
        <f t="shared" si="21"/>
        <v>120.36</v>
      </c>
      <c r="H12" s="123">
        <v>907</v>
      </c>
      <c r="I12" s="123">
        <f t="shared" si="22"/>
        <v>1360.5</v>
      </c>
      <c r="J12" s="123">
        <v>63</v>
      </c>
      <c r="K12" s="123">
        <f t="shared" si="23"/>
        <v>37.799999999999997</v>
      </c>
      <c r="L12" s="125">
        <f t="shared" si="1"/>
        <v>1870</v>
      </c>
      <c r="M12" s="126">
        <f t="shared" si="2"/>
        <v>4.9869999999999998E-2</v>
      </c>
      <c r="N12" s="123">
        <f t="shared" si="3"/>
        <v>280.7681</v>
      </c>
      <c r="O12" s="123">
        <f t="shared" si="24"/>
        <v>2660.9481000000005</v>
      </c>
      <c r="P12" s="123">
        <f t="shared" si="4"/>
        <v>8290.9481000000014</v>
      </c>
      <c r="Q12" s="127">
        <f t="shared" si="25"/>
        <v>4015</v>
      </c>
      <c r="R12" s="127">
        <f t="shared" si="5"/>
        <v>33288157</v>
      </c>
      <c r="S12" s="127">
        <f>'6_Local Deduct Calc'!J12</f>
        <v>8645732</v>
      </c>
      <c r="T12" s="127">
        <f t="shared" si="26"/>
        <v>8645732</v>
      </c>
      <c r="U12" s="128">
        <f t="shared" si="27"/>
        <v>24642425</v>
      </c>
      <c r="V12" s="129">
        <f t="shared" si="41"/>
        <v>0.74029999999999996</v>
      </c>
      <c r="W12" s="129">
        <f t="shared" si="28"/>
        <v>0.25969999999999999</v>
      </c>
      <c r="X12" s="130">
        <f t="shared" si="6"/>
        <v>1535.6539964476021</v>
      </c>
      <c r="Y12" s="127">
        <f>'7_Local Revenue'!AS12</f>
        <v>28273297</v>
      </c>
      <c r="Z12" s="127">
        <f t="shared" si="29"/>
        <v>19627565</v>
      </c>
      <c r="AA12" s="131">
        <f t="shared" si="30"/>
        <v>0</v>
      </c>
      <c r="AB12" s="131">
        <f t="shared" si="7"/>
        <v>11317973.380000001</v>
      </c>
      <c r="AC12" s="131">
        <f t="shared" si="8"/>
        <v>11317973.380000001</v>
      </c>
      <c r="AD12" s="127">
        <f t="shared" si="9"/>
        <v>5055557.6212719204</v>
      </c>
      <c r="AE12" s="132">
        <f t="shared" si="31"/>
        <v>6262416</v>
      </c>
      <c r="AF12" s="131">
        <f t="shared" si="10"/>
        <v>1112</v>
      </c>
      <c r="AG12" s="133">
        <f t="shared" si="32"/>
        <v>0.55330000000000001</v>
      </c>
      <c r="AH12" s="132">
        <f t="shared" si="11"/>
        <v>30904841</v>
      </c>
      <c r="AI12" s="131">
        <f t="shared" si="12"/>
        <v>5489</v>
      </c>
      <c r="AJ12" s="132">
        <f>'3A_Level 3'!J12</f>
        <v>964741</v>
      </c>
      <c r="AK12" s="131">
        <f t="shared" si="13"/>
        <v>171.35719360568385</v>
      </c>
      <c r="AL12" s="132">
        <f t="shared" si="33"/>
        <v>31869582</v>
      </c>
      <c r="AM12" s="131">
        <f t="shared" si="14"/>
        <v>5660.6717584369453</v>
      </c>
      <c r="AN12" s="134">
        <f>'3A_Level 3'!K12</f>
        <v>4035793</v>
      </c>
      <c r="AO12" s="135">
        <f t="shared" si="15"/>
        <v>716.8371225577265</v>
      </c>
      <c r="AP12" s="132">
        <f t="shared" si="34"/>
        <v>34940634</v>
      </c>
      <c r="AQ12" s="131">
        <f t="shared" si="16"/>
        <v>6206.1516873889877</v>
      </c>
      <c r="AR12" s="133">
        <f t="shared" si="35"/>
        <v>0.63639111943723392</v>
      </c>
      <c r="AS12" s="136">
        <f t="shared" si="36"/>
        <v>33</v>
      </c>
      <c r="AT12" s="131">
        <f t="shared" si="17"/>
        <v>19963705.379999999</v>
      </c>
      <c r="AU12" s="131">
        <f t="shared" si="18"/>
        <v>3545.95</v>
      </c>
      <c r="AV12" s="136">
        <f t="shared" si="37"/>
        <v>38</v>
      </c>
      <c r="AW12" s="133">
        <f t="shared" si="38"/>
        <v>0.36360888056276619</v>
      </c>
      <c r="AX12" s="135">
        <f t="shared" si="39"/>
        <v>54904339.379999995</v>
      </c>
      <c r="AY12" s="135">
        <f t="shared" si="19"/>
        <v>9752.1029094138539</v>
      </c>
      <c r="AZ12" s="136">
        <f t="shared" si="40"/>
        <v>30</v>
      </c>
    </row>
    <row r="13" spans="1:52" ht="15.6" customHeight="1" x14ac:dyDescent="0.2">
      <c r="A13" s="121">
        <v>7</v>
      </c>
      <c r="B13" s="122" t="s">
        <v>137</v>
      </c>
      <c r="C13" s="137">
        <f>'8_2.1.21 SIS'!AV13</f>
        <v>1968</v>
      </c>
      <c r="D13" s="123">
        <v>1524</v>
      </c>
      <c r="E13" s="123">
        <f t="shared" si="20"/>
        <v>335.28000000000003</v>
      </c>
      <c r="F13" s="124">
        <v>773</v>
      </c>
      <c r="G13" s="123">
        <f t="shared" si="21"/>
        <v>46.379999999999995</v>
      </c>
      <c r="H13" s="123">
        <v>280</v>
      </c>
      <c r="I13" s="123">
        <f t="shared" si="22"/>
        <v>420</v>
      </c>
      <c r="J13" s="123">
        <v>60</v>
      </c>
      <c r="K13" s="123">
        <f t="shared" si="23"/>
        <v>36</v>
      </c>
      <c r="L13" s="123">
        <f t="shared" si="1"/>
        <v>5532</v>
      </c>
      <c r="M13" s="126">
        <f t="shared" si="2"/>
        <v>0.14752000000000001</v>
      </c>
      <c r="N13" s="123">
        <f t="shared" si="3"/>
        <v>290.31936000000002</v>
      </c>
      <c r="O13" s="123">
        <f t="shared" si="24"/>
        <v>1127.97936</v>
      </c>
      <c r="P13" s="123">
        <f t="shared" si="4"/>
        <v>3095.9793600000003</v>
      </c>
      <c r="Q13" s="127">
        <f t="shared" si="25"/>
        <v>4015</v>
      </c>
      <c r="R13" s="127">
        <f t="shared" si="5"/>
        <v>12430357</v>
      </c>
      <c r="S13" s="127">
        <f>'6_Local Deduct Calc'!J13</f>
        <v>6596748</v>
      </c>
      <c r="T13" s="127">
        <f t="shared" si="26"/>
        <v>6596748</v>
      </c>
      <c r="U13" s="128">
        <f t="shared" si="27"/>
        <v>5833609</v>
      </c>
      <c r="V13" s="129">
        <f t="shared" si="41"/>
        <v>0.46929999999999999</v>
      </c>
      <c r="W13" s="129">
        <f t="shared" si="28"/>
        <v>0.53069999999999995</v>
      </c>
      <c r="X13" s="130">
        <f t="shared" si="6"/>
        <v>3352.0060975609758</v>
      </c>
      <c r="Y13" s="127">
        <f>'7_Local Revenue'!AS13</f>
        <v>26397186</v>
      </c>
      <c r="Z13" s="127">
        <f t="shared" si="29"/>
        <v>19800438</v>
      </c>
      <c r="AA13" s="131">
        <f t="shared" si="30"/>
        <v>0</v>
      </c>
      <c r="AB13" s="131">
        <f t="shared" si="7"/>
        <v>4226321.38</v>
      </c>
      <c r="AC13" s="131">
        <f t="shared" si="8"/>
        <v>4226321.38</v>
      </c>
      <c r="AD13" s="127">
        <f t="shared" si="9"/>
        <v>3857803.0609495197</v>
      </c>
      <c r="AE13" s="132">
        <f t="shared" si="31"/>
        <v>368518</v>
      </c>
      <c r="AF13" s="131">
        <f t="shared" si="10"/>
        <v>187</v>
      </c>
      <c r="AG13" s="133">
        <f t="shared" si="32"/>
        <v>8.72E-2</v>
      </c>
      <c r="AH13" s="132">
        <f t="shared" si="11"/>
        <v>6202127</v>
      </c>
      <c r="AI13" s="131">
        <f t="shared" si="12"/>
        <v>3151</v>
      </c>
      <c r="AJ13" s="132">
        <f>'3A_Level 3'!J13</f>
        <v>337231</v>
      </c>
      <c r="AK13" s="131">
        <f t="shared" si="13"/>
        <v>171.35721544715446</v>
      </c>
      <c r="AL13" s="132">
        <f t="shared" si="33"/>
        <v>6539358</v>
      </c>
      <c r="AM13" s="131">
        <f t="shared" si="14"/>
        <v>3322.8445121951218</v>
      </c>
      <c r="AN13" s="134">
        <f>'3A_Level 3'!K13</f>
        <v>1826850</v>
      </c>
      <c r="AO13" s="135">
        <f t="shared" si="15"/>
        <v>928.27743902439022</v>
      </c>
      <c r="AP13" s="132">
        <f t="shared" si="34"/>
        <v>8028977</v>
      </c>
      <c r="AQ13" s="131">
        <f t="shared" si="16"/>
        <v>4079.7647357723577</v>
      </c>
      <c r="AR13" s="133">
        <f t="shared" si="35"/>
        <v>0.42589418878779561</v>
      </c>
      <c r="AS13" s="136">
        <f t="shared" si="36"/>
        <v>60</v>
      </c>
      <c r="AT13" s="131">
        <f t="shared" si="17"/>
        <v>10823069.380000001</v>
      </c>
      <c r="AU13" s="131">
        <f t="shared" si="18"/>
        <v>5499.53</v>
      </c>
      <c r="AV13" s="136">
        <f t="shared" si="37"/>
        <v>10</v>
      </c>
      <c r="AW13" s="133">
        <f t="shared" si="38"/>
        <v>0.57410581121220428</v>
      </c>
      <c r="AX13" s="135">
        <f t="shared" si="39"/>
        <v>18852046.380000003</v>
      </c>
      <c r="AY13" s="135">
        <f t="shared" si="19"/>
        <v>9579.2918597560983</v>
      </c>
      <c r="AZ13" s="136">
        <f t="shared" si="40"/>
        <v>41</v>
      </c>
    </row>
    <row r="14" spans="1:52" ht="15.6" customHeight="1" x14ac:dyDescent="0.2">
      <c r="A14" s="121">
        <v>8</v>
      </c>
      <c r="B14" s="122" t="s">
        <v>138</v>
      </c>
      <c r="C14" s="137">
        <f>'8_2.1.21 SIS'!AV14</f>
        <v>22060</v>
      </c>
      <c r="D14" s="123">
        <v>11795</v>
      </c>
      <c r="E14" s="123">
        <f t="shared" si="20"/>
        <v>2594.9</v>
      </c>
      <c r="F14" s="124">
        <v>6979</v>
      </c>
      <c r="G14" s="123">
        <f t="shared" si="21"/>
        <v>418.74</v>
      </c>
      <c r="H14" s="123">
        <v>3214</v>
      </c>
      <c r="I14" s="123">
        <f t="shared" si="22"/>
        <v>4821</v>
      </c>
      <c r="J14" s="123">
        <v>1252</v>
      </c>
      <c r="K14" s="123">
        <f t="shared" si="23"/>
        <v>751.19999999999993</v>
      </c>
      <c r="L14" s="123">
        <f t="shared" si="1"/>
        <v>0</v>
      </c>
      <c r="M14" s="126">
        <f t="shared" si="2"/>
        <v>0</v>
      </c>
      <c r="N14" s="123">
        <f t="shared" si="3"/>
        <v>0</v>
      </c>
      <c r="O14" s="123">
        <f t="shared" si="24"/>
        <v>8585.84</v>
      </c>
      <c r="P14" s="123">
        <f t="shared" si="4"/>
        <v>30645.84</v>
      </c>
      <c r="Q14" s="127">
        <f t="shared" si="25"/>
        <v>4015</v>
      </c>
      <c r="R14" s="127">
        <f t="shared" si="5"/>
        <v>123043048</v>
      </c>
      <c r="S14" s="127">
        <f>'6_Local Deduct Calc'!J14</f>
        <v>34848052</v>
      </c>
      <c r="T14" s="127">
        <f t="shared" si="26"/>
        <v>34848052</v>
      </c>
      <c r="U14" s="128">
        <f t="shared" si="27"/>
        <v>88194996</v>
      </c>
      <c r="V14" s="129">
        <f t="shared" si="41"/>
        <v>0.71679999999999999</v>
      </c>
      <c r="W14" s="129">
        <f t="shared" si="28"/>
        <v>0.28320000000000001</v>
      </c>
      <c r="X14" s="130">
        <f t="shared" si="6"/>
        <v>1579.6941069809611</v>
      </c>
      <c r="Y14" s="127">
        <f>'7_Local Revenue'!AS14</f>
        <v>115463218</v>
      </c>
      <c r="Z14" s="127">
        <f t="shared" si="29"/>
        <v>80615166</v>
      </c>
      <c r="AA14" s="131">
        <f t="shared" si="30"/>
        <v>0</v>
      </c>
      <c r="AB14" s="131">
        <f t="shared" si="7"/>
        <v>41834636.32</v>
      </c>
      <c r="AC14" s="131">
        <f t="shared" si="8"/>
        <v>41834636.32</v>
      </c>
      <c r="AD14" s="127">
        <f t="shared" si="9"/>
        <v>20377818.690017279</v>
      </c>
      <c r="AE14" s="132">
        <f t="shared" si="31"/>
        <v>21456818</v>
      </c>
      <c r="AF14" s="131">
        <f t="shared" si="10"/>
        <v>973</v>
      </c>
      <c r="AG14" s="133">
        <f t="shared" si="32"/>
        <v>0.51290000000000002</v>
      </c>
      <c r="AH14" s="132">
        <f t="shared" si="11"/>
        <v>109651814</v>
      </c>
      <c r="AI14" s="131">
        <f t="shared" si="12"/>
        <v>4971</v>
      </c>
      <c r="AJ14" s="132">
        <f>'3A_Level 3'!J14</f>
        <v>3780141</v>
      </c>
      <c r="AK14" s="131">
        <f t="shared" si="13"/>
        <v>171.35725294650953</v>
      </c>
      <c r="AL14" s="132">
        <f t="shared" si="33"/>
        <v>113431955</v>
      </c>
      <c r="AM14" s="131">
        <f t="shared" si="14"/>
        <v>5141.9743880326387</v>
      </c>
      <c r="AN14" s="134">
        <f>'3A_Level 3'!K14</f>
        <v>19790407</v>
      </c>
      <c r="AO14" s="135">
        <f t="shared" si="15"/>
        <v>897.11727107887577</v>
      </c>
      <c r="AP14" s="132">
        <f t="shared" si="34"/>
        <v>129442221</v>
      </c>
      <c r="AQ14" s="131">
        <f t="shared" si="16"/>
        <v>5867.7344061650047</v>
      </c>
      <c r="AR14" s="133">
        <f t="shared" si="35"/>
        <v>0.62797951701725951</v>
      </c>
      <c r="AS14" s="136">
        <f t="shared" si="36"/>
        <v>37</v>
      </c>
      <c r="AT14" s="131">
        <f t="shared" si="17"/>
        <v>76682688.319999993</v>
      </c>
      <c r="AU14" s="131">
        <f t="shared" si="18"/>
        <v>3476.1</v>
      </c>
      <c r="AV14" s="136">
        <f t="shared" si="37"/>
        <v>41</v>
      </c>
      <c r="AW14" s="133">
        <f t="shared" si="38"/>
        <v>0.37202048298274054</v>
      </c>
      <c r="AX14" s="135">
        <f t="shared" si="39"/>
        <v>206124909.31999999</v>
      </c>
      <c r="AY14" s="135">
        <f t="shared" si="19"/>
        <v>9343.8308848594734</v>
      </c>
      <c r="AZ14" s="136">
        <f t="shared" si="40"/>
        <v>51</v>
      </c>
    </row>
    <row r="15" spans="1:52" ht="15.6" customHeight="1" x14ac:dyDescent="0.2">
      <c r="A15" s="121">
        <v>9</v>
      </c>
      <c r="B15" s="122" t="s">
        <v>139</v>
      </c>
      <c r="C15" s="137">
        <f>'8_2.1.21 SIS'!AV15</f>
        <v>36609</v>
      </c>
      <c r="D15" s="123">
        <v>26967</v>
      </c>
      <c r="E15" s="123">
        <f t="shared" si="20"/>
        <v>5932.74</v>
      </c>
      <c r="F15" s="124">
        <v>12488</v>
      </c>
      <c r="G15" s="123">
        <f t="shared" si="21"/>
        <v>749.28</v>
      </c>
      <c r="H15" s="123">
        <v>4313</v>
      </c>
      <c r="I15" s="123">
        <f t="shared" si="22"/>
        <v>6469.5</v>
      </c>
      <c r="J15" s="123">
        <v>1774</v>
      </c>
      <c r="K15" s="123">
        <f t="shared" si="23"/>
        <v>1064.3999999999999</v>
      </c>
      <c r="L15" s="123">
        <f t="shared" si="1"/>
        <v>0</v>
      </c>
      <c r="M15" s="126">
        <f t="shared" si="2"/>
        <v>0</v>
      </c>
      <c r="N15" s="123">
        <f t="shared" si="3"/>
        <v>0</v>
      </c>
      <c r="O15" s="123">
        <f t="shared" si="24"/>
        <v>14215.92</v>
      </c>
      <c r="P15" s="123">
        <f t="shared" si="4"/>
        <v>50824.92</v>
      </c>
      <c r="Q15" s="127">
        <f t="shared" si="25"/>
        <v>4015</v>
      </c>
      <c r="R15" s="127">
        <f t="shared" si="5"/>
        <v>204062054</v>
      </c>
      <c r="S15" s="127">
        <f>'6_Local Deduct Calc'!J15</f>
        <v>66128199</v>
      </c>
      <c r="T15" s="127">
        <f t="shared" si="26"/>
        <v>66128199</v>
      </c>
      <c r="U15" s="128">
        <f t="shared" si="27"/>
        <v>137933855</v>
      </c>
      <c r="V15" s="129">
        <f t="shared" si="41"/>
        <v>0.67589999999999995</v>
      </c>
      <c r="W15" s="129">
        <f t="shared" si="28"/>
        <v>0.3241</v>
      </c>
      <c r="X15" s="130">
        <f t="shared" si="6"/>
        <v>1806.3372121609441</v>
      </c>
      <c r="Y15" s="127">
        <f>'7_Local Revenue'!AS15</f>
        <v>217105022</v>
      </c>
      <c r="Z15" s="127">
        <f t="shared" si="29"/>
        <v>150976823</v>
      </c>
      <c r="AA15" s="131">
        <f t="shared" si="30"/>
        <v>0</v>
      </c>
      <c r="AB15" s="131">
        <f t="shared" si="7"/>
        <v>69381098.359999999</v>
      </c>
      <c r="AC15" s="131">
        <f t="shared" si="8"/>
        <v>69381098.359999999</v>
      </c>
      <c r="AD15" s="127">
        <f t="shared" si="9"/>
        <v>38676632.042978719</v>
      </c>
      <c r="AE15" s="132">
        <f t="shared" si="31"/>
        <v>30704466</v>
      </c>
      <c r="AF15" s="131">
        <f t="shared" si="10"/>
        <v>839</v>
      </c>
      <c r="AG15" s="133">
        <f t="shared" si="32"/>
        <v>0.4425</v>
      </c>
      <c r="AH15" s="132">
        <f t="shared" si="11"/>
        <v>168638321</v>
      </c>
      <c r="AI15" s="131">
        <f t="shared" si="12"/>
        <v>4606</v>
      </c>
      <c r="AJ15" s="132">
        <f>'3A_Level 3'!J15</f>
        <v>6273218</v>
      </c>
      <c r="AK15" s="131">
        <f t="shared" si="13"/>
        <v>171.35726187549508</v>
      </c>
      <c r="AL15" s="132">
        <f t="shared" si="33"/>
        <v>174911539</v>
      </c>
      <c r="AM15" s="131">
        <f t="shared" si="14"/>
        <v>4777.8289218498185</v>
      </c>
      <c r="AN15" s="134">
        <f>'3A_Level 3'!K15</f>
        <v>33538137</v>
      </c>
      <c r="AO15" s="135">
        <f t="shared" si="15"/>
        <v>916.1172662460051</v>
      </c>
      <c r="AP15" s="132">
        <f t="shared" si="34"/>
        <v>202176458</v>
      </c>
      <c r="AQ15" s="131">
        <f t="shared" si="16"/>
        <v>5522.5889262203282</v>
      </c>
      <c r="AR15" s="133">
        <f t="shared" si="35"/>
        <v>0.59871183427463126</v>
      </c>
      <c r="AS15" s="136">
        <f t="shared" si="36"/>
        <v>40</v>
      </c>
      <c r="AT15" s="131">
        <f t="shared" si="17"/>
        <v>135509297.36000001</v>
      </c>
      <c r="AU15" s="131">
        <f t="shared" si="18"/>
        <v>3701.53</v>
      </c>
      <c r="AV15" s="136">
        <f t="shared" si="37"/>
        <v>33</v>
      </c>
      <c r="AW15" s="133">
        <f t="shared" si="38"/>
        <v>0.40128816572536874</v>
      </c>
      <c r="AX15" s="135">
        <f t="shared" si="39"/>
        <v>337685755.36000001</v>
      </c>
      <c r="AY15" s="135">
        <f t="shared" si="19"/>
        <v>9224.1185326012728</v>
      </c>
      <c r="AZ15" s="136">
        <f t="shared" si="40"/>
        <v>55</v>
      </c>
    </row>
    <row r="16" spans="1:52" ht="15.6" customHeight="1" x14ac:dyDescent="0.2">
      <c r="A16" s="138">
        <v>10</v>
      </c>
      <c r="B16" s="139" t="s">
        <v>140</v>
      </c>
      <c r="C16" s="140">
        <f>'8_2.1.21 SIS'!AV16</f>
        <v>28785</v>
      </c>
      <c r="D16" s="141">
        <v>22222</v>
      </c>
      <c r="E16" s="141">
        <f t="shared" si="20"/>
        <v>4888.84</v>
      </c>
      <c r="F16" s="142">
        <v>10180.5</v>
      </c>
      <c r="G16" s="141">
        <f t="shared" si="21"/>
        <v>610.82999999999993</v>
      </c>
      <c r="H16" s="141">
        <v>4786</v>
      </c>
      <c r="I16" s="141">
        <f t="shared" si="22"/>
        <v>7179</v>
      </c>
      <c r="J16" s="141">
        <v>752</v>
      </c>
      <c r="K16" s="141">
        <f t="shared" si="23"/>
        <v>451.2</v>
      </c>
      <c r="L16" s="141">
        <f t="shared" si="1"/>
        <v>0</v>
      </c>
      <c r="M16" s="143">
        <f t="shared" si="2"/>
        <v>0</v>
      </c>
      <c r="N16" s="141">
        <f t="shared" si="3"/>
        <v>0</v>
      </c>
      <c r="O16" s="141">
        <f t="shared" si="24"/>
        <v>13129.87</v>
      </c>
      <c r="P16" s="144">
        <f t="shared" si="4"/>
        <v>41914.870000000003</v>
      </c>
      <c r="Q16" s="145">
        <f t="shared" si="25"/>
        <v>4015</v>
      </c>
      <c r="R16" s="145">
        <f t="shared" si="5"/>
        <v>168288203</v>
      </c>
      <c r="S16" s="145">
        <f>'6_Local Deduct Calc'!J16</f>
        <v>79043830</v>
      </c>
      <c r="T16" s="145">
        <f t="shared" si="26"/>
        <v>79043830</v>
      </c>
      <c r="U16" s="146">
        <f t="shared" si="27"/>
        <v>89244373</v>
      </c>
      <c r="V16" s="147">
        <f t="shared" si="41"/>
        <v>0.53029999999999999</v>
      </c>
      <c r="W16" s="148">
        <f t="shared" si="28"/>
        <v>0.46970000000000001</v>
      </c>
      <c r="X16" s="149">
        <f t="shared" si="6"/>
        <v>2746.0076428695502</v>
      </c>
      <c r="Y16" s="145">
        <f>'7_Local Revenue'!AS16</f>
        <v>225828837</v>
      </c>
      <c r="Z16" s="145">
        <f>IF(Y16-T16&gt;0,Y16-T16,0)</f>
        <v>146785007</v>
      </c>
      <c r="AA16" s="150">
        <f t="shared" si="30"/>
        <v>0</v>
      </c>
      <c r="AB16" s="150">
        <f t="shared" si="7"/>
        <v>57217989.020000003</v>
      </c>
      <c r="AC16" s="150">
        <f t="shared" si="8"/>
        <v>57217989.020000003</v>
      </c>
      <c r="AD16" s="145">
        <f t="shared" si="9"/>
        <v>46225497.841433689</v>
      </c>
      <c r="AE16" s="151">
        <f t="shared" si="31"/>
        <v>10992491</v>
      </c>
      <c r="AF16" s="150">
        <f t="shared" si="10"/>
        <v>382</v>
      </c>
      <c r="AG16" s="152">
        <f t="shared" si="32"/>
        <v>0.19209999999999999</v>
      </c>
      <c r="AH16" s="151">
        <f t="shared" si="11"/>
        <v>100236864</v>
      </c>
      <c r="AI16" s="150">
        <f t="shared" si="12"/>
        <v>3482</v>
      </c>
      <c r="AJ16" s="151">
        <f>'3A_Level 3'!J16</f>
        <v>4932519</v>
      </c>
      <c r="AK16" s="150">
        <f t="shared" si="13"/>
        <v>171.35726941115163</v>
      </c>
      <c r="AL16" s="151">
        <f t="shared" si="33"/>
        <v>105169383</v>
      </c>
      <c r="AM16" s="150">
        <f t="shared" si="14"/>
        <v>3653.6176133402814</v>
      </c>
      <c r="AN16" s="153">
        <f>'3A_Level 3'!K16</f>
        <v>22434950</v>
      </c>
      <c r="AO16" s="154">
        <f t="shared" si="15"/>
        <v>779.39725551502522</v>
      </c>
      <c r="AP16" s="151">
        <f t="shared" si="34"/>
        <v>122671814</v>
      </c>
      <c r="AQ16" s="150">
        <f t="shared" si="16"/>
        <v>4261.6575994441546</v>
      </c>
      <c r="AR16" s="152">
        <f t="shared" si="35"/>
        <v>0.47375774467477094</v>
      </c>
      <c r="AS16" s="155">
        <f t="shared" si="36"/>
        <v>58</v>
      </c>
      <c r="AT16" s="150">
        <f t="shared" si="17"/>
        <v>136261819.02000001</v>
      </c>
      <c r="AU16" s="150">
        <f t="shared" si="18"/>
        <v>4733.78</v>
      </c>
      <c r="AV16" s="155">
        <f t="shared" si="37"/>
        <v>14</v>
      </c>
      <c r="AW16" s="152">
        <f t="shared" si="38"/>
        <v>0.52624225532522906</v>
      </c>
      <c r="AX16" s="154">
        <f t="shared" si="39"/>
        <v>258933633.02000001</v>
      </c>
      <c r="AY16" s="154">
        <f t="shared" si="19"/>
        <v>8995.436269584854</v>
      </c>
      <c r="AZ16" s="155">
        <f t="shared" si="40"/>
        <v>61</v>
      </c>
    </row>
    <row r="17" spans="1:52" ht="15.6" customHeight="1" x14ac:dyDescent="0.2">
      <c r="A17" s="121">
        <v>11</v>
      </c>
      <c r="B17" s="122" t="s">
        <v>141</v>
      </c>
      <c r="C17" s="123">
        <f>'8_2.1.21 SIS'!AV17</f>
        <v>1496</v>
      </c>
      <c r="D17" s="123">
        <v>1090</v>
      </c>
      <c r="E17" s="123">
        <f t="shared" si="20"/>
        <v>239.8</v>
      </c>
      <c r="F17" s="124">
        <v>1013</v>
      </c>
      <c r="G17" s="123">
        <f t="shared" si="21"/>
        <v>60.78</v>
      </c>
      <c r="H17" s="123">
        <v>273</v>
      </c>
      <c r="I17" s="123">
        <f t="shared" si="22"/>
        <v>409.5</v>
      </c>
      <c r="J17" s="123">
        <v>44</v>
      </c>
      <c r="K17" s="123">
        <f t="shared" si="23"/>
        <v>26.4</v>
      </c>
      <c r="L17" s="125">
        <f t="shared" si="1"/>
        <v>6004</v>
      </c>
      <c r="M17" s="126">
        <f t="shared" si="2"/>
        <v>0.16011</v>
      </c>
      <c r="N17" s="123">
        <f t="shared" si="3"/>
        <v>239.52456000000001</v>
      </c>
      <c r="O17" s="123">
        <f t="shared" si="24"/>
        <v>976.00456000000008</v>
      </c>
      <c r="P17" s="123">
        <f t="shared" si="4"/>
        <v>2472.0045600000003</v>
      </c>
      <c r="Q17" s="127">
        <f t="shared" si="25"/>
        <v>4015</v>
      </c>
      <c r="R17" s="127">
        <f t="shared" si="5"/>
        <v>9925098</v>
      </c>
      <c r="S17" s="127">
        <f>'6_Local Deduct Calc'!J17</f>
        <v>1783847</v>
      </c>
      <c r="T17" s="156">
        <f t="shared" si="26"/>
        <v>1783847</v>
      </c>
      <c r="U17" s="128">
        <f t="shared" si="27"/>
        <v>8141251</v>
      </c>
      <c r="V17" s="129">
        <f t="shared" si="41"/>
        <v>0.82030000000000003</v>
      </c>
      <c r="W17" s="129">
        <f t="shared" si="28"/>
        <v>0.1797</v>
      </c>
      <c r="X17" s="130">
        <f t="shared" si="6"/>
        <v>1192.4110962566845</v>
      </c>
      <c r="Y17" s="127">
        <f>'7_Local Revenue'!AS17</f>
        <v>5296906</v>
      </c>
      <c r="Z17" s="127">
        <f t="shared" si="29"/>
        <v>3513059</v>
      </c>
      <c r="AA17" s="131">
        <f t="shared" si="30"/>
        <v>0</v>
      </c>
      <c r="AB17" s="131">
        <f t="shared" si="7"/>
        <v>3374533.3200000003</v>
      </c>
      <c r="AC17" s="131">
        <f t="shared" si="8"/>
        <v>3374533.3200000003</v>
      </c>
      <c r="AD17" s="127">
        <f t="shared" si="9"/>
        <v>1043014.25667888</v>
      </c>
      <c r="AE17" s="132">
        <f t="shared" si="31"/>
        <v>2331519</v>
      </c>
      <c r="AF17" s="131">
        <f t="shared" si="10"/>
        <v>1559</v>
      </c>
      <c r="AG17" s="133">
        <f t="shared" si="32"/>
        <v>0.69089999999999996</v>
      </c>
      <c r="AH17" s="132">
        <f t="shared" si="11"/>
        <v>10472770</v>
      </c>
      <c r="AI17" s="131">
        <f t="shared" si="12"/>
        <v>7001</v>
      </c>
      <c r="AJ17" s="132">
        <f>'3A_Level 3'!J17</f>
        <v>256350</v>
      </c>
      <c r="AK17" s="131">
        <f t="shared" si="13"/>
        <v>171.35695187165774</v>
      </c>
      <c r="AL17" s="132">
        <f t="shared" si="33"/>
        <v>10729120</v>
      </c>
      <c r="AM17" s="131">
        <f t="shared" si="14"/>
        <v>7171.8716577540108</v>
      </c>
      <c r="AN17" s="134">
        <f>'3A_Level 3'!K17</f>
        <v>1313349</v>
      </c>
      <c r="AO17" s="135">
        <f t="shared" si="15"/>
        <v>877.9070855614973</v>
      </c>
      <c r="AP17" s="132">
        <f t="shared" si="34"/>
        <v>11786119</v>
      </c>
      <c r="AQ17" s="131">
        <f t="shared" si="16"/>
        <v>7878.4217914438505</v>
      </c>
      <c r="AR17" s="133">
        <f t="shared" si="35"/>
        <v>0.69557198341579562</v>
      </c>
      <c r="AS17" s="136">
        <f t="shared" si="36"/>
        <v>13</v>
      </c>
      <c r="AT17" s="131">
        <f t="shared" si="17"/>
        <v>5158380.32</v>
      </c>
      <c r="AU17" s="131">
        <f t="shared" si="18"/>
        <v>3448.12</v>
      </c>
      <c r="AV17" s="136">
        <f t="shared" si="37"/>
        <v>46</v>
      </c>
      <c r="AW17" s="133">
        <f t="shared" si="38"/>
        <v>0.30442801658420438</v>
      </c>
      <c r="AX17" s="135">
        <f t="shared" si="39"/>
        <v>16944499.32</v>
      </c>
      <c r="AY17" s="135">
        <f t="shared" si="19"/>
        <v>11326.536978609625</v>
      </c>
      <c r="AZ17" s="136">
        <f t="shared" si="40"/>
        <v>4</v>
      </c>
    </row>
    <row r="18" spans="1:52" ht="15.6" customHeight="1" x14ac:dyDescent="0.2">
      <c r="A18" s="121">
        <v>12</v>
      </c>
      <c r="B18" s="122" t="s">
        <v>142</v>
      </c>
      <c r="C18" s="137">
        <f>'8_2.1.21 SIS'!AV18</f>
        <v>1131</v>
      </c>
      <c r="D18" s="123">
        <v>1121</v>
      </c>
      <c r="E18" s="123">
        <f t="shared" si="20"/>
        <v>246.62</v>
      </c>
      <c r="F18" s="124">
        <v>432</v>
      </c>
      <c r="G18" s="123">
        <f t="shared" si="21"/>
        <v>25.919999999999998</v>
      </c>
      <c r="H18" s="123">
        <v>188</v>
      </c>
      <c r="I18" s="123">
        <f t="shared" si="22"/>
        <v>282</v>
      </c>
      <c r="J18" s="123">
        <v>64</v>
      </c>
      <c r="K18" s="123">
        <f t="shared" si="23"/>
        <v>38.4</v>
      </c>
      <c r="L18" s="123">
        <f t="shared" si="1"/>
        <v>6369</v>
      </c>
      <c r="M18" s="126">
        <f t="shared" si="2"/>
        <v>0.16983999999999999</v>
      </c>
      <c r="N18" s="123">
        <f t="shared" si="3"/>
        <v>192.08903999999998</v>
      </c>
      <c r="O18" s="123">
        <f t="shared" si="24"/>
        <v>785.0290399999999</v>
      </c>
      <c r="P18" s="123">
        <f t="shared" si="4"/>
        <v>1916.0290399999999</v>
      </c>
      <c r="Q18" s="127">
        <f t="shared" si="25"/>
        <v>4015</v>
      </c>
      <c r="R18" s="127">
        <f t="shared" si="5"/>
        <v>7692857</v>
      </c>
      <c r="S18" s="127">
        <f>'6_Local Deduct Calc'!J18</f>
        <v>6191261</v>
      </c>
      <c r="T18" s="127">
        <f t="shared" si="26"/>
        <v>5769643</v>
      </c>
      <c r="U18" s="128">
        <f t="shared" si="27"/>
        <v>1923214</v>
      </c>
      <c r="V18" s="129">
        <f t="shared" si="41"/>
        <v>0.25</v>
      </c>
      <c r="W18" s="129">
        <f t="shared" si="28"/>
        <v>0.75</v>
      </c>
      <c r="X18" s="130">
        <f t="shared" si="6"/>
        <v>5101.3642793987619</v>
      </c>
      <c r="Y18" s="127">
        <f>'7_Local Revenue'!AS18</f>
        <v>11954634</v>
      </c>
      <c r="Z18" s="127">
        <f t="shared" si="29"/>
        <v>6184991</v>
      </c>
      <c r="AA18" s="131">
        <f t="shared" si="30"/>
        <v>0</v>
      </c>
      <c r="AB18" s="131">
        <f t="shared" si="7"/>
        <v>2615571.3800000004</v>
      </c>
      <c r="AC18" s="131">
        <f t="shared" si="8"/>
        <v>2615571.3800000004</v>
      </c>
      <c r="AD18" s="127">
        <f t="shared" si="9"/>
        <v>3374087.0802000007</v>
      </c>
      <c r="AE18" s="132">
        <f t="shared" si="31"/>
        <v>0</v>
      </c>
      <c r="AF18" s="131">
        <f t="shared" si="10"/>
        <v>0</v>
      </c>
      <c r="AG18" s="133">
        <f t="shared" si="32"/>
        <v>0</v>
      </c>
      <c r="AH18" s="132">
        <f t="shared" si="11"/>
        <v>1923214</v>
      </c>
      <c r="AI18" s="131">
        <f t="shared" si="12"/>
        <v>1700</v>
      </c>
      <c r="AJ18" s="132">
        <f>'3A_Level 3'!J18</f>
        <v>193805</v>
      </c>
      <c r="AK18" s="131">
        <f t="shared" si="13"/>
        <v>171.35720601237841</v>
      </c>
      <c r="AL18" s="132">
        <f t="shared" si="33"/>
        <v>2117019</v>
      </c>
      <c r="AM18" s="131">
        <f t="shared" si="14"/>
        <v>1871.8116710875331</v>
      </c>
      <c r="AN18" s="134">
        <f>'3A_Level 3'!K18</f>
        <v>1396409</v>
      </c>
      <c r="AO18" s="135">
        <f t="shared" si="15"/>
        <v>1234.6675508399646</v>
      </c>
      <c r="AP18" s="132">
        <f t="shared" si="34"/>
        <v>3319623</v>
      </c>
      <c r="AQ18" s="131">
        <f t="shared" si="16"/>
        <v>2935.1220159151194</v>
      </c>
      <c r="AR18" s="133">
        <f t="shared" si="35"/>
        <v>0.28361120212333957</v>
      </c>
      <c r="AS18" s="136">
        <f t="shared" si="36"/>
        <v>69</v>
      </c>
      <c r="AT18" s="131">
        <f t="shared" si="17"/>
        <v>8385214.3799999999</v>
      </c>
      <c r="AU18" s="131">
        <f t="shared" si="18"/>
        <v>7413.98</v>
      </c>
      <c r="AV18" s="136">
        <f t="shared" si="37"/>
        <v>1</v>
      </c>
      <c r="AW18" s="133">
        <f t="shared" si="38"/>
        <v>0.71638879787666054</v>
      </c>
      <c r="AX18" s="135">
        <f t="shared" si="39"/>
        <v>11704837.379999999</v>
      </c>
      <c r="AY18" s="135">
        <f t="shared" si="19"/>
        <v>10349.104668435013</v>
      </c>
      <c r="AZ18" s="136">
        <f t="shared" si="40"/>
        <v>13</v>
      </c>
    </row>
    <row r="19" spans="1:52" ht="15.6" customHeight="1" x14ac:dyDescent="0.2">
      <c r="A19" s="121">
        <v>13</v>
      </c>
      <c r="B19" s="122" t="s">
        <v>143</v>
      </c>
      <c r="C19" s="137">
        <f>'8_2.1.21 SIS'!AV19</f>
        <v>1177</v>
      </c>
      <c r="D19" s="123">
        <v>971</v>
      </c>
      <c r="E19" s="123">
        <f t="shared" si="20"/>
        <v>213.62</v>
      </c>
      <c r="F19" s="124">
        <v>652.5</v>
      </c>
      <c r="G19" s="123">
        <f t="shared" si="21"/>
        <v>39.15</v>
      </c>
      <c r="H19" s="123">
        <v>166</v>
      </c>
      <c r="I19" s="123">
        <f t="shared" si="22"/>
        <v>249</v>
      </c>
      <c r="J19" s="123">
        <v>4</v>
      </c>
      <c r="K19" s="123">
        <f t="shared" si="23"/>
        <v>2.4</v>
      </c>
      <c r="L19" s="123">
        <f t="shared" si="1"/>
        <v>6323</v>
      </c>
      <c r="M19" s="126">
        <f t="shared" si="2"/>
        <v>0.16861000000000001</v>
      </c>
      <c r="N19" s="123">
        <f t="shared" si="3"/>
        <v>198.45397</v>
      </c>
      <c r="O19" s="123">
        <f t="shared" si="24"/>
        <v>702.62396999999999</v>
      </c>
      <c r="P19" s="123">
        <f t="shared" si="4"/>
        <v>1879.6239700000001</v>
      </c>
      <c r="Q19" s="127">
        <f t="shared" si="25"/>
        <v>4015</v>
      </c>
      <c r="R19" s="127">
        <f t="shared" si="5"/>
        <v>7546690</v>
      </c>
      <c r="S19" s="127">
        <f>'6_Local Deduct Calc'!J19</f>
        <v>1323501</v>
      </c>
      <c r="T19" s="127">
        <f t="shared" si="26"/>
        <v>1323501</v>
      </c>
      <c r="U19" s="128">
        <f t="shared" si="27"/>
        <v>6223189</v>
      </c>
      <c r="V19" s="129">
        <f t="shared" si="41"/>
        <v>0.8246</v>
      </c>
      <c r="W19" s="129">
        <f t="shared" si="28"/>
        <v>0.1754</v>
      </c>
      <c r="X19" s="130">
        <f t="shared" si="6"/>
        <v>1124.4698385726424</v>
      </c>
      <c r="Y19" s="127">
        <f>'7_Local Revenue'!AS19</f>
        <v>3719408</v>
      </c>
      <c r="Z19" s="127">
        <f t="shared" si="29"/>
        <v>2395907</v>
      </c>
      <c r="AA19" s="131">
        <f t="shared" si="30"/>
        <v>0</v>
      </c>
      <c r="AB19" s="131">
        <f t="shared" si="7"/>
        <v>2565874.6</v>
      </c>
      <c r="AC19" s="131">
        <f t="shared" si="8"/>
        <v>2395907</v>
      </c>
      <c r="AD19" s="127">
        <f t="shared" si="9"/>
        <v>722816.39101600007</v>
      </c>
      <c r="AE19" s="132">
        <f t="shared" si="31"/>
        <v>1673091</v>
      </c>
      <c r="AF19" s="131">
        <f t="shared" si="10"/>
        <v>1421</v>
      </c>
      <c r="AG19" s="133">
        <f t="shared" si="32"/>
        <v>0.69830000000000003</v>
      </c>
      <c r="AH19" s="132">
        <f t="shared" si="11"/>
        <v>7896280</v>
      </c>
      <c r="AI19" s="131">
        <f t="shared" si="12"/>
        <v>6709</v>
      </c>
      <c r="AJ19" s="132">
        <f>'3A_Level 3'!J19</f>
        <v>201688</v>
      </c>
      <c r="AK19" s="131">
        <f t="shared" si="13"/>
        <v>171.35768903993204</v>
      </c>
      <c r="AL19" s="132">
        <f t="shared" si="33"/>
        <v>8097968</v>
      </c>
      <c r="AM19" s="131">
        <f t="shared" si="14"/>
        <v>6880.1767204757862</v>
      </c>
      <c r="AN19" s="134">
        <f>'3A_Level 3'!K19</f>
        <v>1083767</v>
      </c>
      <c r="AO19" s="135">
        <f t="shared" si="15"/>
        <v>920.78759558198806</v>
      </c>
      <c r="AP19" s="132">
        <f t="shared" si="34"/>
        <v>8980047</v>
      </c>
      <c r="AQ19" s="131">
        <f t="shared" si="16"/>
        <v>7629.6066270178417</v>
      </c>
      <c r="AR19" s="133">
        <f t="shared" si="35"/>
        <v>0.70712065990233441</v>
      </c>
      <c r="AS19" s="136">
        <f t="shared" si="36"/>
        <v>9</v>
      </c>
      <c r="AT19" s="131">
        <f t="shared" si="17"/>
        <v>3719408</v>
      </c>
      <c r="AU19" s="131">
        <f t="shared" si="18"/>
        <v>3160.07</v>
      </c>
      <c r="AV19" s="136">
        <f t="shared" si="37"/>
        <v>55</v>
      </c>
      <c r="AW19" s="133">
        <f t="shared" si="38"/>
        <v>0.29287934009766559</v>
      </c>
      <c r="AX19" s="135">
        <f t="shared" si="39"/>
        <v>12699455</v>
      </c>
      <c r="AY19" s="135">
        <f t="shared" si="19"/>
        <v>10789.681393372983</v>
      </c>
      <c r="AZ19" s="136">
        <f t="shared" si="40"/>
        <v>7</v>
      </c>
    </row>
    <row r="20" spans="1:52" ht="15.6" customHeight="1" x14ac:dyDescent="0.2">
      <c r="A20" s="121">
        <v>14</v>
      </c>
      <c r="B20" s="122" t="s">
        <v>144</v>
      </c>
      <c r="C20" s="137">
        <f>'8_2.1.21 SIS'!AV20</f>
        <v>1716</v>
      </c>
      <c r="D20" s="123">
        <v>1456</v>
      </c>
      <c r="E20" s="123">
        <f t="shared" si="20"/>
        <v>320.32</v>
      </c>
      <c r="F20" s="124">
        <v>699</v>
      </c>
      <c r="G20" s="123">
        <f t="shared" si="21"/>
        <v>41.94</v>
      </c>
      <c r="H20" s="123">
        <v>383</v>
      </c>
      <c r="I20" s="123">
        <f t="shared" si="22"/>
        <v>574.5</v>
      </c>
      <c r="J20" s="123">
        <v>157</v>
      </c>
      <c r="K20" s="123">
        <f t="shared" si="23"/>
        <v>94.2</v>
      </c>
      <c r="L20" s="123">
        <f t="shared" si="1"/>
        <v>5784</v>
      </c>
      <c r="M20" s="126">
        <f t="shared" si="2"/>
        <v>0.15423999999999999</v>
      </c>
      <c r="N20" s="123">
        <f t="shared" si="3"/>
        <v>264.67583999999999</v>
      </c>
      <c r="O20" s="123">
        <f t="shared" si="24"/>
        <v>1295.6358399999999</v>
      </c>
      <c r="P20" s="123">
        <f t="shared" si="4"/>
        <v>3011.6358399999999</v>
      </c>
      <c r="Q20" s="127">
        <f t="shared" si="25"/>
        <v>4015</v>
      </c>
      <c r="R20" s="127">
        <f t="shared" si="5"/>
        <v>12091718</v>
      </c>
      <c r="S20" s="127">
        <f>'6_Local Deduct Calc'!J20</f>
        <v>2910908</v>
      </c>
      <c r="T20" s="127">
        <f t="shared" si="26"/>
        <v>2910908</v>
      </c>
      <c r="U20" s="128">
        <f t="shared" si="27"/>
        <v>9180810</v>
      </c>
      <c r="V20" s="129">
        <f t="shared" si="41"/>
        <v>0.75929999999999997</v>
      </c>
      <c r="W20" s="129">
        <f t="shared" si="28"/>
        <v>0.2407</v>
      </c>
      <c r="X20" s="130">
        <f t="shared" si="6"/>
        <v>1696.3333333333333</v>
      </c>
      <c r="Y20" s="127">
        <f>'7_Local Revenue'!AS20</f>
        <v>7244988</v>
      </c>
      <c r="Z20" s="127">
        <f t="shared" si="29"/>
        <v>4334080</v>
      </c>
      <c r="AA20" s="131">
        <f t="shared" si="30"/>
        <v>0</v>
      </c>
      <c r="AB20" s="131">
        <f t="shared" si="7"/>
        <v>4111184.12</v>
      </c>
      <c r="AC20" s="131">
        <f t="shared" si="8"/>
        <v>4111184.12</v>
      </c>
      <c r="AD20" s="127">
        <f t="shared" si="9"/>
        <v>1702046.6704164799</v>
      </c>
      <c r="AE20" s="132">
        <f t="shared" si="31"/>
        <v>2409137</v>
      </c>
      <c r="AF20" s="131">
        <f t="shared" si="10"/>
        <v>1404</v>
      </c>
      <c r="AG20" s="133">
        <f t="shared" si="32"/>
        <v>0.58599999999999997</v>
      </c>
      <c r="AH20" s="132">
        <f t="shared" si="11"/>
        <v>11589947</v>
      </c>
      <c r="AI20" s="131">
        <f t="shared" si="12"/>
        <v>6754</v>
      </c>
      <c r="AJ20" s="132">
        <f>'3A_Level 3'!J20</f>
        <v>294049</v>
      </c>
      <c r="AK20" s="131">
        <f t="shared" si="13"/>
        <v>171.3572261072261</v>
      </c>
      <c r="AL20" s="132">
        <f t="shared" si="33"/>
        <v>11883996</v>
      </c>
      <c r="AM20" s="131">
        <f t="shared" si="14"/>
        <v>6925.4055944055945</v>
      </c>
      <c r="AN20" s="134">
        <f>'3A_Level 3'!K20</f>
        <v>1683975</v>
      </c>
      <c r="AO20" s="135">
        <f t="shared" si="15"/>
        <v>981.33741258741259</v>
      </c>
      <c r="AP20" s="132">
        <f t="shared" si="34"/>
        <v>13273922</v>
      </c>
      <c r="AQ20" s="131">
        <f t="shared" si="16"/>
        <v>7735.3857808857811</v>
      </c>
      <c r="AR20" s="133">
        <f t="shared" si="35"/>
        <v>0.65401619852637349</v>
      </c>
      <c r="AS20" s="136">
        <f t="shared" si="36"/>
        <v>27</v>
      </c>
      <c r="AT20" s="131">
        <f t="shared" si="17"/>
        <v>7022092.1200000001</v>
      </c>
      <c r="AU20" s="131">
        <f t="shared" si="18"/>
        <v>4092.13</v>
      </c>
      <c r="AV20" s="136">
        <f t="shared" si="37"/>
        <v>24</v>
      </c>
      <c r="AW20" s="133">
        <f t="shared" si="38"/>
        <v>0.34598380147362645</v>
      </c>
      <c r="AX20" s="135">
        <f t="shared" si="39"/>
        <v>20296014.120000001</v>
      </c>
      <c r="AY20" s="135">
        <f t="shared" si="19"/>
        <v>11827.514055944057</v>
      </c>
      <c r="AZ20" s="136">
        <f t="shared" si="40"/>
        <v>1</v>
      </c>
    </row>
    <row r="21" spans="1:52" ht="15.6" customHeight="1" x14ac:dyDescent="0.2">
      <c r="A21" s="138">
        <v>15</v>
      </c>
      <c r="B21" s="139" t="s">
        <v>145</v>
      </c>
      <c r="C21" s="140">
        <f>'8_2.1.21 SIS'!AV21</f>
        <v>3448</v>
      </c>
      <c r="D21" s="141">
        <v>2826</v>
      </c>
      <c r="E21" s="141">
        <f t="shared" si="20"/>
        <v>621.72</v>
      </c>
      <c r="F21" s="142">
        <v>2099.5</v>
      </c>
      <c r="G21" s="141">
        <f t="shared" si="21"/>
        <v>125.97</v>
      </c>
      <c r="H21" s="141">
        <v>442</v>
      </c>
      <c r="I21" s="141">
        <f t="shared" si="22"/>
        <v>663</v>
      </c>
      <c r="J21" s="141">
        <v>106</v>
      </c>
      <c r="K21" s="141">
        <f t="shared" si="23"/>
        <v>63.599999999999994</v>
      </c>
      <c r="L21" s="141">
        <f t="shared" si="1"/>
        <v>4052</v>
      </c>
      <c r="M21" s="143">
        <f t="shared" si="2"/>
        <v>0.10804999999999999</v>
      </c>
      <c r="N21" s="141">
        <f t="shared" si="3"/>
        <v>372.5564</v>
      </c>
      <c r="O21" s="141">
        <f t="shared" si="24"/>
        <v>1846.8463999999999</v>
      </c>
      <c r="P21" s="144">
        <f t="shared" si="4"/>
        <v>5294.8464000000004</v>
      </c>
      <c r="Q21" s="145">
        <f t="shared" si="25"/>
        <v>4015</v>
      </c>
      <c r="R21" s="145">
        <f t="shared" si="5"/>
        <v>21258808</v>
      </c>
      <c r="S21" s="145">
        <f>'6_Local Deduct Calc'!J21</f>
        <v>4069921</v>
      </c>
      <c r="T21" s="145">
        <f t="shared" si="26"/>
        <v>4069921</v>
      </c>
      <c r="U21" s="146">
        <f t="shared" si="27"/>
        <v>17188887</v>
      </c>
      <c r="V21" s="147">
        <f t="shared" si="41"/>
        <v>0.80859999999999999</v>
      </c>
      <c r="W21" s="148">
        <f t="shared" si="28"/>
        <v>0.19139999999999999</v>
      </c>
      <c r="X21" s="149">
        <f t="shared" si="6"/>
        <v>1180.3715197215777</v>
      </c>
      <c r="Y21" s="145">
        <f>'7_Local Revenue'!AS21</f>
        <v>11208404</v>
      </c>
      <c r="Z21" s="145">
        <f t="shared" si="29"/>
        <v>7138483</v>
      </c>
      <c r="AA21" s="150">
        <f t="shared" si="30"/>
        <v>0</v>
      </c>
      <c r="AB21" s="150">
        <f t="shared" si="7"/>
        <v>7227994.7200000007</v>
      </c>
      <c r="AC21" s="150">
        <f t="shared" si="8"/>
        <v>7138483</v>
      </c>
      <c r="AD21" s="145">
        <f t="shared" si="9"/>
        <v>2350045.7114639995</v>
      </c>
      <c r="AE21" s="151">
        <f t="shared" si="31"/>
        <v>4788437</v>
      </c>
      <c r="AF21" s="150">
        <f t="shared" si="10"/>
        <v>1389</v>
      </c>
      <c r="AG21" s="152">
        <f t="shared" si="32"/>
        <v>0.67079999999999995</v>
      </c>
      <c r="AH21" s="151">
        <f t="shared" si="11"/>
        <v>21977324</v>
      </c>
      <c r="AI21" s="150">
        <f t="shared" si="12"/>
        <v>6374</v>
      </c>
      <c r="AJ21" s="151">
        <f>'3A_Level 3'!J21</f>
        <v>344800</v>
      </c>
      <c r="AK21" s="150">
        <f t="shared" si="13"/>
        <v>100</v>
      </c>
      <c r="AL21" s="151">
        <f t="shared" si="33"/>
        <v>22322124</v>
      </c>
      <c r="AM21" s="150">
        <f t="shared" si="14"/>
        <v>6473.9338747099764</v>
      </c>
      <c r="AN21" s="153">
        <f>'3A_Level 3'!K21</f>
        <v>2254302</v>
      </c>
      <c r="AO21" s="154">
        <f t="shared" si="15"/>
        <v>653.79988399071931</v>
      </c>
      <c r="AP21" s="151">
        <f t="shared" si="34"/>
        <v>24231626</v>
      </c>
      <c r="AQ21" s="150">
        <f t="shared" si="16"/>
        <v>7027.7337587006959</v>
      </c>
      <c r="AR21" s="152">
        <f t="shared" si="35"/>
        <v>0.68373604649883202</v>
      </c>
      <c r="AS21" s="155">
        <f t="shared" si="36"/>
        <v>16</v>
      </c>
      <c r="AT21" s="150">
        <f t="shared" si="17"/>
        <v>11208404</v>
      </c>
      <c r="AU21" s="150">
        <f t="shared" si="18"/>
        <v>3250.7</v>
      </c>
      <c r="AV21" s="155">
        <f t="shared" si="37"/>
        <v>52</v>
      </c>
      <c r="AW21" s="152">
        <f t="shared" si="38"/>
        <v>0.31626395350116804</v>
      </c>
      <c r="AX21" s="154">
        <f t="shared" si="39"/>
        <v>35440030</v>
      </c>
      <c r="AY21" s="154">
        <f t="shared" si="19"/>
        <v>10278.430974477958</v>
      </c>
      <c r="AZ21" s="155">
        <f t="shared" si="40"/>
        <v>15</v>
      </c>
    </row>
    <row r="22" spans="1:52" ht="15.6" customHeight="1" x14ac:dyDescent="0.2">
      <c r="A22" s="121">
        <v>16</v>
      </c>
      <c r="B22" s="122" t="s">
        <v>146</v>
      </c>
      <c r="C22" s="137">
        <f>'8_2.1.21 SIS'!AV22</f>
        <v>4675</v>
      </c>
      <c r="D22" s="123">
        <v>2931</v>
      </c>
      <c r="E22" s="123">
        <f t="shared" si="20"/>
        <v>644.82000000000005</v>
      </c>
      <c r="F22" s="124">
        <v>2610</v>
      </c>
      <c r="G22" s="123">
        <f t="shared" si="21"/>
        <v>156.6</v>
      </c>
      <c r="H22" s="123">
        <v>500</v>
      </c>
      <c r="I22" s="123">
        <f t="shared" si="22"/>
        <v>750</v>
      </c>
      <c r="J22" s="123">
        <v>213</v>
      </c>
      <c r="K22" s="123">
        <f t="shared" si="23"/>
        <v>127.8</v>
      </c>
      <c r="L22" s="125">
        <f t="shared" si="1"/>
        <v>2825</v>
      </c>
      <c r="M22" s="126">
        <f t="shared" si="2"/>
        <v>7.5329999999999994E-2</v>
      </c>
      <c r="N22" s="123">
        <f t="shared" si="3"/>
        <v>352.16774999999996</v>
      </c>
      <c r="O22" s="123">
        <f t="shared" si="24"/>
        <v>2031.3877499999999</v>
      </c>
      <c r="P22" s="123">
        <f t="shared" si="4"/>
        <v>6706.3877499999999</v>
      </c>
      <c r="Q22" s="127">
        <f t="shared" si="25"/>
        <v>4015</v>
      </c>
      <c r="R22" s="127">
        <f t="shared" si="5"/>
        <v>26926147</v>
      </c>
      <c r="S22" s="127">
        <f>'6_Local Deduct Calc'!J22</f>
        <v>18259059</v>
      </c>
      <c r="T22" s="127">
        <f t="shared" si="26"/>
        <v>18259059</v>
      </c>
      <c r="U22" s="128">
        <f t="shared" si="27"/>
        <v>8667088</v>
      </c>
      <c r="V22" s="129">
        <f t="shared" si="41"/>
        <v>0.32190000000000002</v>
      </c>
      <c r="W22" s="129">
        <f t="shared" si="28"/>
        <v>0.67810000000000004</v>
      </c>
      <c r="X22" s="130">
        <f t="shared" si="6"/>
        <v>3905.6810695187164</v>
      </c>
      <c r="Y22" s="127">
        <f>'7_Local Revenue'!AS22</f>
        <v>69329361</v>
      </c>
      <c r="Z22" s="127">
        <f t="shared" si="29"/>
        <v>51070302</v>
      </c>
      <c r="AA22" s="131">
        <f t="shared" si="30"/>
        <v>0</v>
      </c>
      <c r="AB22" s="131">
        <f t="shared" si="7"/>
        <v>9154889.9800000004</v>
      </c>
      <c r="AC22" s="131">
        <f t="shared" si="8"/>
        <v>9154889.9800000004</v>
      </c>
      <c r="AD22" s="127">
        <f t="shared" si="9"/>
        <v>10677641.140153361</v>
      </c>
      <c r="AE22" s="132">
        <f t="shared" si="31"/>
        <v>0</v>
      </c>
      <c r="AF22" s="131">
        <f t="shared" si="10"/>
        <v>0</v>
      </c>
      <c r="AG22" s="133">
        <f t="shared" si="32"/>
        <v>0</v>
      </c>
      <c r="AH22" s="132">
        <f t="shared" si="11"/>
        <v>8667088</v>
      </c>
      <c r="AI22" s="131">
        <f t="shared" si="12"/>
        <v>1854</v>
      </c>
      <c r="AJ22" s="132">
        <f>'3A_Level 3'!J22</f>
        <v>801095</v>
      </c>
      <c r="AK22" s="131">
        <f t="shared" si="13"/>
        <v>171.35721925133689</v>
      </c>
      <c r="AL22" s="132">
        <f t="shared" si="33"/>
        <v>9468183</v>
      </c>
      <c r="AM22" s="131">
        <f t="shared" si="14"/>
        <v>2025.2797860962567</v>
      </c>
      <c r="AN22" s="134">
        <f>'3A_Level 3'!K22</f>
        <v>4011558</v>
      </c>
      <c r="AO22" s="135">
        <f t="shared" si="15"/>
        <v>858.08727272727276</v>
      </c>
      <c r="AP22" s="132">
        <f t="shared" si="34"/>
        <v>12678646</v>
      </c>
      <c r="AQ22" s="131">
        <f t="shared" si="16"/>
        <v>2712.0098395721925</v>
      </c>
      <c r="AR22" s="133">
        <f t="shared" si="35"/>
        <v>0.31623410772799021</v>
      </c>
      <c r="AS22" s="136">
        <f t="shared" si="36"/>
        <v>65</v>
      </c>
      <c r="AT22" s="131">
        <f t="shared" si="17"/>
        <v>27413948.98</v>
      </c>
      <c r="AU22" s="131">
        <f t="shared" si="18"/>
        <v>5863.95</v>
      </c>
      <c r="AV22" s="136">
        <f t="shared" si="37"/>
        <v>7</v>
      </c>
      <c r="AW22" s="133">
        <f t="shared" si="38"/>
        <v>0.68376589227200968</v>
      </c>
      <c r="AX22" s="135">
        <f t="shared" si="39"/>
        <v>40092594.980000004</v>
      </c>
      <c r="AY22" s="135">
        <f t="shared" si="19"/>
        <v>8575.9561454545455</v>
      </c>
      <c r="AZ22" s="136">
        <f t="shared" si="40"/>
        <v>68</v>
      </c>
    </row>
    <row r="23" spans="1:52" ht="15.6" customHeight="1" x14ac:dyDescent="0.2">
      <c r="A23" s="121">
        <v>17</v>
      </c>
      <c r="B23" s="122" t="s">
        <v>147</v>
      </c>
      <c r="C23" s="137">
        <f>'8_2.1.21 SIS'!AV23</f>
        <v>45153</v>
      </c>
      <c r="D23" s="123">
        <v>36489</v>
      </c>
      <c r="E23" s="123">
        <f t="shared" si="20"/>
        <v>8027.58</v>
      </c>
      <c r="F23" s="124">
        <v>20758.5</v>
      </c>
      <c r="G23" s="123">
        <f t="shared" si="21"/>
        <v>1245.51</v>
      </c>
      <c r="H23" s="123">
        <v>5109</v>
      </c>
      <c r="I23" s="123">
        <f t="shared" si="22"/>
        <v>7663.5</v>
      </c>
      <c r="J23" s="123">
        <v>1402</v>
      </c>
      <c r="K23" s="123">
        <f t="shared" si="23"/>
        <v>841.19999999999993</v>
      </c>
      <c r="L23" s="123">
        <f t="shared" si="1"/>
        <v>0</v>
      </c>
      <c r="M23" s="126">
        <f t="shared" si="2"/>
        <v>0</v>
      </c>
      <c r="N23" s="123">
        <f t="shared" si="3"/>
        <v>0</v>
      </c>
      <c r="O23" s="123">
        <f t="shared" si="24"/>
        <v>17777.79</v>
      </c>
      <c r="P23" s="123">
        <f t="shared" si="4"/>
        <v>62930.79</v>
      </c>
      <c r="Q23" s="127">
        <f t="shared" si="25"/>
        <v>4015</v>
      </c>
      <c r="R23" s="127">
        <f t="shared" si="5"/>
        <v>252667122</v>
      </c>
      <c r="S23" s="127">
        <f>'6_Local Deduct Calc'!J23</f>
        <v>122827429</v>
      </c>
      <c r="T23" s="127">
        <f t="shared" si="26"/>
        <v>122827429</v>
      </c>
      <c r="U23" s="128">
        <f t="shared" si="27"/>
        <v>129839693</v>
      </c>
      <c r="V23" s="129">
        <f t="shared" si="41"/>
        <v>0.51390000000000002</v>
      </c>
      <c r="W23" s="129">
        <f t="shared" si="28"/>
        <v>0.48609999999999998</v>
      </c>
      <c r="X23" s="130">
        <f t="shared" si="6"/>
        <v>2720.2495736717383</v>
      </c>
      <c r="Y23" s="127">
        <f>'7_Local Revenue'!AS23</f>
        <v>355063836</v>
      </c>
      <c r="Z23" s="127">
        <f t="shared" si="29"/>
        <v>232236407</v>
      </c>
      <c r="AA23" s="131">
        <f t="shared" si="30"/>
        <v>0</v>
      </c>
      <c r="AB23" s="131">
        <f t="shared" si="7"/>
        <v>85906821.480000004</v>
      </c>
      <c r="AC23" s="131">
        <f t="shared" si="8"/>
        <v>85906821.480000004</v>
      </c>
      <c r="AD23" s="127">
        <f t="shared" si="9"/>
        <v>71826006.184856161</v>
      </c>
      <c r="AE23" s="132">
        <f t="shared" si="31"/>
        <v>14080815</v>
      </c>
      <c r="AF23" s="131">
        <f t="shared" si="10"/>
        <v>312</v>
      </c>
      <c r="AG23" s="133">
        <f t="shared" si="32"/>
        <v>0.16389999999999999</v>
      </c>
      <c r="AH23" s="132">
        <f t="shared" si="11"/>
        <v>143920508</v>
      </c>
      <c r="AI23" s="131">
        <f t="shared" si="12"/>
        <v>3187</v>
      </c>
      <c r="AJ23" s="132">
        <f>'3A_Level 3'!J23</f>
        <v>18095992</v>
      </c>
      <c r="AK23" s="131">
        <f t="shared" si="13"/>
        <v>400.77053573405976</v>
      </c>
      <c r="AL23" s="132">
        <f t="shared" si="33"/>
        <v>162016500</v>
      </c>
      <c r="AM23" s="131">
        <f t="shared" si="14"/>
        <v>3588.1668992093551</v>
      </c>
      <c r="AN23" s="134">
        <f>'3A_Level 3'!K23</f>
        <v>54285218</v>
      </c>
      <c r="AO23" s="135">
        <f t="shared" si="15"/>
        <v>1202.2505259894137</v>
      </c>
      <c r="AP23" s="132">
        <f t="shared" si="34"/>
        <v>198205726</v>
      </c>
      <c r="AQ23" s="131">
        <f t="shared" si="16"/>
        <v>4389.6468894647087</v>
      </c>
      <c r="AR23" s="133">
        <f t="shared" si="35"/>
        <v>0.48706378693601088</v>
      </c>
      <c r="AS23" s="136">
        <f t="shared" si="36"/>
        <v>57</v>
      </c>
      <c r="AT23" s="131">
        <f t="shared" si="17"/>
        <v>208734250.47999999</v>
      </c>
      <c r="AU23" s="131">
        <f t="shared" si="18"/>
        <v>4622.82</v>
      </c>
      <c r="AV23" s="136">
        <f t="shared" si="37"/>
        <v>16</v>
      </c>
      <c r="AW23" s="133">
        <f t="shared" si="38"/>
        <v>0.51293621306398907</v>
      </c>
      <c r="AX23" s="135">
        <f t="shared" si="39"/>
        <v>406939976.48000002</v>
      </c>
      <c r="AY23" s="135">
        <f t="shared" si="19"/>
        <v>9012.4681965760865</v>
      </c>
      <c r="AZ23" s="136">
        <f t="shared" si="40"/>
        <v>60</v>
      </c>
    </row>
    <row r="24" spans="1:52" ht="15.6" customHeight="1" x14ac:dyDescent="0.2">
      <c r="A24" s="121">
        <v>18</v>
      </c>
      <c r="B24" s="122" t="s">
        <v>148</v>
      </c>
      <c r="C24" s="137">
        <f>'8_2.1.21 SIS'!AV24</f>
        <v>803</v>
      </c>
      <c r="D24" s="123">
        <v>785</v>
      </c>
      <c r="E24" s="123">
        <f t="shared" si="20"/>
        <v>172.7</v>
      </c>
      <c r="F24" s="124">
        <v>601.5</v>
      </c>
      <c r="G24" s="123">
        <f t="shared" si="21"/>
        <v>36.089999999999996</v>
      </c>
      <c r="H24" s="123">
        <v>100</v>
      </c>
      <c r="I24" s="123">
        <f t="shared" si="22"/>
        <v>150</v>
      </c>
      <c r="J24" s="123">
        <v>0</v>
      </c>
      <c r="K24" s="123">
        <f t="shared" si="23"/>
        <v>0</v>
      </c>
      <c r="L24" s="123">
        <f t="shared" si="1"/>
        <v>6697</v>
      </c>
      <c r="M24" s="126">
        <f t="shared" si="2"/>
        <v>0.17859</v>
      </c>
      <c r="N24" s="123">
        <f t="shared" si="3"/>
        <v>143.40777</v>
      </c>
      <c r="O24" s="123">
        <f t="shared" si="24"/>
        <v>502.19776999999999</v>
      </c>
      <c r="P24" s="123">
        <f t="shared" si="4"/>
        <v>1305.19777</v>
      </c>
      <c r="Q24" s="127">
        <f t="shared" si="25"/>
        <v>4015</v>
      </c>
      <c r="R24" s="127">
        <f t="shared" si="5"/>
        <v>5240369</v>
      </c>
      <c r="S24" s="127">
        <f>'6_Local Deduct Calc'!J24</f>
        <v>1241440</v>
      </c>
      <c r="T24" s="127">
        <f t="shared" si="26"/>
        <v>1241440</v>
      </c>
      <c r="U24" s="128">
        <f t="shared" si="27"/>
        <v>3998929</v>
      </c>
      <c r="V24" s="129">
        <f t="shared" si="41"/>
        <v>0.7631</v>
      </c>
      <c r="W24" s="129">
        <f t="shared" si="28"/>
        <v>0.2369</v>
      </c>
      <c r="X24" s="130">
        <f t="shared" si="6"/>
        <v>1546.0024906600249</v>
      </c>
      <c r="Y24" s="127">
        <f>'7_Local Revenue'!AS24</f>
        <v>2727515</v>
      </c>
      <c r="Z24" s="127">
        <f t="shared" si="29"/>
        <v>1486075</v>
      </c>
      <c r="AA24" s="131">
        <f t="shared" si="30"/>
        <v>0</v>
      </c>
      <c r="AB24" s="131">
        <f t="shared" si="7"/>
        <v>1781725.4600000002</v>
      </c>
      <c r="AC24" s="131">
        <f t="shared" si="8"/>
        <v>1486075</v>
      </c>
      <c r="AD24" s="127">
        <f t="shared" si="9"/>
        <v>605528.00809999998</v>
      </c>
      <c r="AE24" s="132">
        <f t="shared" si="31"/>
        <v>880547</v>
      </c>
      <c r="AF24" s="131">
        <f t="shared" si="10"/>
        <v>1097</v>
      </c>
      <c r="AG24" s="133">
        <f t="shared" si="32"/>
        <v>0.59250000000000003</v>
      </c>
      <c r="AH24" s="132">
        <f t="shared" si="11"/>
        <v>4879476</v>
      </c>
      <c r="AI24" s="131">
        <f t="shared" si="12"/>
        <v>6077</v>
      </c>
      <c r="AJ24" s="132">
        <f>'3A_Level 3'!J24</f>
        <v>137600</v>
      </c>
      <c r="AK24" s="131">
        <f t="shared" si="13"/>
        <v>171.3574097135741</v>
      </c>
      <c r="AL24" s="132">
        <f t="shared" si="33"/>
        <v>5017076</v>
      </c>
      <c r="AM24" s="131">
        <f t="shared" si="14"/>
        <v>6247.9153175591528</v>
      </c>
      <c r="AN24" s="134">
        <f>'3A_Level 3'!K24</f>
        <v>816898</v>
      </c>
      <c r="AO24" s="135">
        <f t="shared" si="15"/>
        <v>1017.307596513076</v>
      </c>
      <c r="AP24" s="132">
        <f t="shared" si="34"/>
        <v>5696374</v>
      </c>
      <c r="AQ24" s="131">
        <f t="shared" si="16"/>
        <v>7093.865504358655</v>
      </c>
      <c r="AR24" s="133">
        <f t="shared" si="35"/>
        <v>0.67621665005319986</v>
      </c>
      <c r="AS24" s="136">
        <f t="shared" si="36"/>
        <v>19</v>
      </c>
      <c r="AT24" s="131">
        <f t="shared" si="17"/>
        <v>2727515</v>
      </c>
      <c r="AU24" s="131">
        <f t="shared" si="18"/>
        <v>3396.66</v>
      </c>
      <c r="AV24" s="136">
        <f t="shared" si="37"/>
        <v>47</v>
      </c>
      <c r="AW24" s="133">
        <f t="shared" si="38"/>
        <v>0.32378334994680008</v>
      </c>
      <c r="AX24" s="135">
        <f t="shared" si="39"/>
        <v>8423889</v>
      </c>
      <c r="AY24" s="135">
        <f t="shared" si="19"/>
        <v>10490.521793275218</v>
      </c>
      <c r="AZ24" s="136">
        <f t="shared" si="40"/>
        <v>11</v>
      </c>
    </row>
    <row r="25" spans="1:52" ht="15.6" customHeight="1" x14ac:dyDescent="0.2">
      <c r="A25" s="121">
        <v>19</v>
      </c>
      <c r="B25" s="122" t="s">
        <v>149</v>
      </c>
      <c r="C25" s="137">
        <f>'8_2.1.21 SIS'!AV25</f>
        <v>1689</v>
      </c>
      <c r="D25" s="123">
        <v>1257</v>
      </c>
      <c r="E25" s="123">
        <f t="shared" si="20"/>
        <v>276.54000000000002</v>
      </c>
      <c r="F25" s="124">
        <v>656.5</v>
      </c>
      <c r="G25" s="123">
        <f t="shared" si="21"/>
        <v>39.39</v>
      </c>
      <c r="H25" s="123">
        <v>229</v>
      </c>
      <c r="I25" s="123">
        <f t="shared" si="22"/>
        <v>343.5</v>
      </c>
      <c r="J25" s="123">
        <v>35</v>
      </c>
      <c r="K25" s="123">
        <f t="shared" si="23"/>
        <v>21</v>
      </c>
      <c r="L25" s="123">
        <f t="shared" si="1"/>
        <v>5811</v>
      </c>
      <c r="M25" s="126">
        <f t="shared" si="2"/>
        <v>0.15495999999999999</v>
      </c>
      <c r="N25" s="123">
        <f t="shared" si="3"/>
        <v>261.72744</v>
      </c>
      <c r="O25" s="123">
        <f t="shared" si="24"/>
        <v>942.15744000000007</v>
      </c>
      <c r="P25" s="123">
        <f t="shared" si="4"/>
        <v>2631.15744</v>
      </c>
      <c r="Q25" s="127">
        <f t="shared" si="25"/>
        <v>4015</v>
      </c>
      <c r="R25" s="127">
        <f t="shared" si="5"/>
        <v>10564097</v>
      </c>
      <c r="S25" s="127">
        <f>'6_Local Deduct Calc'!J25</f>
        <v>4048259</v>
      </c>
      <c r="T25" s="127">
        <f t="shared" si="26"/>
        <v>4048259</v>
      </c>
      <c r="U25" s="128">
        <f t="shared" si="27"/>
        <v>6515838</v>
      </c>
      <c r="V25" s="129">
        <f t="shared" si="41"/>
        <v>0.61680000000000001</v>
      </c>
      <c r="W25" s="129">
        <f t="shared" si="28"/>
        <v>0.38319999999999999</v>
      </c>
      <c r="X25" s="130">
        <f t="shared" si="6"/>
        <v>2396.837773830669</v>
      </c>
      <c r="Y25" s="127">
        <f>'7_Local Revenue'!AS25</f>
        <v>7561689</v>
      </c>
      <c r="Z25" s="127">
        <f t="shared" si="29"/>
        <v>3513430</v>
      </c>
      <c r="AA25" s="131">
        <f t="shared" si="30"/>
        <v>0</v>
      </c>
      <c r="AB25" s="131">
        <f t="shared" si="7"/>
        <v>3591792.9800000004</v>
      </c>
      <c r="AC25" s="131">
        <f t="shared" si="8"/>
        <v>3513430</v>
      </c>
      <c r="AD25" s="127">
        <f t="shared" si="9"/>
        <v>2315715.7667199997</v>
      </c>
      <c r="AE25" s="132">
        <f t="shared" si="31"/>
        <v>1197714</v>
      </c>
      <c r="AF25" s="131">
        <f t="shared" si="10"/>
        <v>709</v>
      </c>
      <c r="AG25" s="133">
        <f t="shared" si="32"/>
        <v>0.34089999999999998</v>
      </c>
      <c r="AH25" s="132">
        <f t="shared" si="11"/>
        <v>7713552</v>
      </c>
      <c r="AI25" s="131">
        <f t="shared" si="12"/>
        <v>4567</v>
      </c>
      <c r="AJ25" s="132">
        <f>'3A_Level 3'!J25</f>
        <v>289422</v>
      </c>
      <c r="AK25" s="131">
        <f t="shared" si="13"/>
        <v>171.35701598579041</v>
      </c>
      <c r="AL25" s="132">
        <f t="shared" si="33"/>
        <v>8002974</v>
      </c>
      <c r="AM25" s="131">
        <f t="shared" si="14"/>
        <v>4738.2912966252225</v>
      </c>
      <c r="AN25" s="134">
        <f>'3A_Level 3'!K25</f>
        <v>1818693</v>
      </c>
      <c r="AO25" s="135">
        <f t="shared" si="15"/>
        <v>1076.7868561278863</v>
      </c>
      <c r="AP25" s="132">
        <f t="shared" si="34"/>
        <v>9532245</v>
      </c>
      <c r="AQ25" s="131">
        <f t="shared" si="16"/>
        <v>5643.7211367673181</v>
      </c>
      <c r="AR25" s="133">
        <f t="shared" si="35"/>
        <v>0.55763904318338886</v>
      </c>
      <c r="AS25" s="136">
        <f t="shared" si="36"/>
        <v>51</v>
      </c>
      <c r="AT25" s="131">
        <f t="shared" si="17"/>
        <v>7561689</v>
      </c>
      <c r="AU25" s="131">
        <f t="shared" si="18"/>
        <v>4477.0200000000004</v>
      </c>
      <c r="AV25" s="136">
        <f t="shared" si="37"/>
        <v>18</v>
      </c>
      <c r="AW25" s="133">
        <f t="shared" si="38"/>
        <v>0.44236095681661108</v>
      </c>
      <c r="AX25" s="135">
        <f t="shared" si="39"/>
        <v>17093934</v>
      </c>
      <c r="AY25" s="135">
        <f t="shared" si="19"/>
        <v>10120.742451154529</v>
      </c>
      <c r="AZ25" s="136">
        <f t="shared" si="40"/>
        <v>18</v>
      </c>
    </row>
    <row r="26" spans="1:52" ht="15.6" customHeight="1" x14ac:dyDescent="0.2">
      <c r="A26" s="138">
        <v>20</v>
      </c>
      <c r="B26" s="139" t="s">
        <v>150</v>
      </c>
      <c r="C26" s="140">
        <f>'8_2.1.21 SIS'!AV26</f>
        <v>5518</v>
      </c>
      <c r="D26" s="141">
        <v>4179</v>
      </c>
      <c r="E26" s="141">
        <f t="shared" si="20"/>
        <v>919.38</v>
      </c>
      <c r="F26" s="142">
        <v>2720</v>
      </c>
      <c r="G26" s="141">
        <f t="shared" si="21"/>
        <v>163.19999999999999</v>
      </c>
      <c r="H26" s="141">
        <v>863</v>
      </c>
      <c r="I26" s="141">
        <f t="shared" si="22"/>
        <v>1294.5</v>
      </c>
      <c r="J26" s="141">
        <v>111</v>
      </c>
      <c r="K26" s="141">
        <f t="shared" si="23"/>
        <v>66.599999999999994</v>
      </c>
      <c r="L26" s="141">
        <f t="shared" si="1"/>
        <v>1982</v>
      </c>
      <c r="M26" s="143">
        <f t="shared" si="2"/>
        <v>5.2850000000000001E-2</v>
      </c>
      <c r="N26" s="141">
        <f t="shared" si="3"/>
        <v>291.62630000000001</v>
      </c>
      <c r="O26" s="141">
        <f t="shared" si="24"/>
        <v>2735.3062999999997</v>
      </c>
      <c r="P26" s="144">
        <f t="shared" si="4"/>
        <v>8253.3063000000002</v>
      </c>
      <c r="Q26" s="145">
        <f t="shared" si="25"/>
        <v>4015</v>
      </c>
      <c r="R26" s="145">
        <f t="shared" si="5"/>
        <v>33137025</v>
      </c>
      <c r="S26" s="145">
        <f>'6_Local Deduct Calc'!J26</f>
        <v>6362064</v>
      </c>
      <c r="T26" s="145">
        <f t="shared" si="26"/>
        <v>6362064</v>
      </c>
      <c r="U26" s="146">
        <f t="shared" si="27"/>
        <v>26774961</v>
      </c>
      <c r="V26" s="147">
        <f t="shared" si="41"/>
        <v>0.80800000000000005</v>
      </c>
      <c r="W26" s="148">
        <f t="shared" si="28"/>
        <v>0.192</v>
      </c>
      <c r="X26" s="149">
        <f t="shared" si="6"/>
        <v>1152.9655672345052</v>
      </c>
      <c r="Y26" s="145">
        <f>'7_Local Revenue'!AS26</f>
        <v>15447989</v>
      </c>
      <c r="Z26" s="145">
        <f t="shared" si="29"/>
        <v>9085925</v>
      </c>
      <c r="AA26" s="150">
        <f t="shared" si="30"/>
        <v>0</v>
      </c>
      <c r="AB26" s="150">
        <f t="shared" si="7"/>
        <v>11266588.5</v>
      </c>
      <c r="AC26" s="150">
        <f t="shared" si="8"/>
        <v>9085925</v>
      </c>
      <c r="AD26" s="145">
        <f t="shared" si="9"/>
        <v>3000535.872</v>
      </c>
      <c r="AE26" s="151">
        <f t="shared" si="31"/>
        <v>6085389</v>
      </c>
      <c r="AF26" s="150">
        <f t="shared" si="10"/>
        <v>1103</v>
      </c>
      <c r="AG26" s="152">
        <f t="shared" si="32"/>
        <v>0.66979999999999995</v>
      </c>
      <c r="AH26" s="151">
        <f t="shared" si="11"/>
        <v>32860350</v>
      </c>
      <c r="AI26" s="150">
        <f t="shared" si="12"/>
        <v>5955</v>
      </c>
      <c r="AJ26" s="151">
        <f>'3A_Level 3'!J26</f>
        <v>551800</v>
      </c>
      <c r="AK26" s="150">
        <f t="shared" si="13"/>
        <v>100</v>
      </c>
      <c r="AL26" s="151">
        <f t="shared" si="33"/>
        <v>33412150</v>
      </c>
      <c r="AM26" s="150">
        <f t="shared" si="14"/>
        <v>6055.119608553824</v>
      </c>
      <c r="AN26" s="153">
        <f>'3A_Level 3'!K26</f>
        <v>3786286</v>
      </c>
      <c r="AO26" s="154">
        <f t="shared" si="15"/>
        <v>686.16998912649512</v>
      </c>
      <c r="AP26" s="151">
        <f t="shared" si="34"/>
        <v>36646636</v>
      </c>
      <c r="AQ26" s="150">
        <f t="shared" si="16"/>
        <v>6641.2895976803193</v>
      </c>
      <c r="AR26" s="152">
        <f t="shared" si="35"/>
        <v>0.70346290044318394</v>
      </c>
      <c r="AS26" s="155">
        <f t="shared" si="36"/>
        <v>10</v>
      </c>
      <c r="AT26" s="150">
        <f t="shared" si="17"/>
        <v>15447989</v>
      </c>
      <c r="AU26" s="150">
        <f t="shared" si="18"/>
        <v>2799.56</v>
      </c>
      <c r="AV26" s="155">
        <f t="shared" si="37"/>
        <v>63</v>
      </c>
      <c r="AW26" s="152">
        <f t="shared" si="38"/>
        <v>0.29653709955681606</v>
      </c>
      <c r="AX26" s="154">
        <f t="shared" si="39"/>
        <v>52094625</v>
      </c>
      <c r="AY26" s="154">
        <f t="shared" si="19"/>
        <v>9440.8526640086984</v>
      </c>
      <c r="AZ26" s="155">
        <f t="shared" si="40"/>
        <v>48</v>
      </c>
    </row>
    <row r="27" spans="1:52" ht="15.6" customHeight="1" x14ac:dyDescent="0.2">
      <c r="A27" s="121">
        <v>21</v>
      </c>
      <c r="B27" s="122" t="s">
        <v>151</v>
      </c>
      <c r="C27" s="123">
        <f>'8_2.1.21 SIS'!AV27</f>
        <v>2783</v>
      </c>
      <c r="D27" s="123">
        <v>2370</v>
      </c>
      <c r="E27" s="123">
        <f t="shared" si="20"/>
        <v>521.4</v>
      </c>
      <c r="F27" s="124">
        <v>1122.5</v>
      </c>
      <c r="G27" s="123">
        <f t="shared" si="21"/>
        <v>67.349999999999994</v>
      </c>
      <c r="H27" s="123">
        <v>491</v>
      </c>
      <c r="I27" s="123">
        <f t="shared" si="22"/>
        <v>736.5</v>
      </c>
      <c r="J27" s="123">
        <v>105</v>
      </c>
      <c r="K27" s="123">
        <f t="shared" si="23"/>
        <v>63</v>
      </c>
      <c r="L27" s="125">
        <f t="shared" si="1"/>
        <v>4717</v>
      </c>
      <c r="M27" s="126">
        <f t="shared" si="2"/>
        <v>0.12579000000000001</v>
      </c>
      <c r="N27" s="123">
        <f t="shared" si="3"/>
        <v>350.07357000000002</v>
      </c>
      <c r="O27" s="123">
        <f t="shared" si="24"/>
        <v>1738.32357</v>
      </c>
      <c r="P27" s="123">
        <f t="shared" si="4"/>
        <v>4521.3235700000005</v>
      </c>
      <c r="Q27" s="127">
        <f t="shared" si="25"/>
        <v>4015</v>
      </c>
      <c r="R27" s="127">
        <f t="shared" si="5"/>
        <v>18153114</v>
      </c>
      <c r="S27" s="127">
        <f>'6_Local Deduct Calc'!J27</f>
        <v>3545681</v>
      </c>
      <c r="T27" s="127">
        <f t="shared" si="26"/>
        <v>3545681</v>
      </c>
      <c r="U27" s="128">
        <f t="shared" si="27"/>
        <v>14607433</v>
      </c>
      <c r="V27" s="129">
        <f t="shared" si="41"/>
        <v>0.80469999999999997</v>
      </c>
      <c r="W27" s="129">
        <f t="shared" si="28"/>
        <v>0.1953</v>
      </c>
      <c r="X27" s="130">
        <f t="shared" si="6"/>
        <v>1274.0499461013294</v>
      </c>
      <c r="Y27" s="127">
        <f>'7_Local Revenue'!AS27</f>
        <v>8181730</v>
      </c>
      <c r="Z27" s="127">
        <f t="shared" si="29"/>
        <v>4636049</v>
      </c>
      <c r="AA27" s="131">
        <f t="shared" si="30"/>
        <v>0</v>
      </c>
      <c r="AB27" s="131">
        <f t="shared" si="7"/>
        <v>6172058.7600000007</v>
      </c>
      <c r="AC27" s="131">
        <f t="shared" si="8"/>
        <v>4636049</v>
      </c>
      <c r="AD27" s="127">
        <f t="shared" si="9"/>
        <v>1557323.0358839999</v>
      </c>
      <c r="AE27" s="132">
        <f t="shared" si="31"/>
        <v>3078726</v>
      </c>
      <c r="AF27" s="131">
        <f t="shared" si="10"/>
        <v>1106</v>
      </c>
      <c r="AG27" s="133">
        <f t="shared" si="32"/>
        <v>0.66410000000000002</v>
      </c>
      <c r="AH27" s="132">
        <f t="shared" si="11"/>
        <v>17686159</v>
      </c>
      <c r="AI27" s="131">
        <f t="shared" si="12"/>
        <v>6355</v>
      </c>
      <c r="AJ27" s="132">
        <f>'3A_Level 3'!J27</f>
        <v>476887</v>
      </c>
      <c r="AK27" s="131">
        <f t="shared" si="13"/>
        <v>171.35716852317643</v>
      </c>
      <c r="AL27" s="132">
        <f t="shared" si="33"/>
        <v>18163046</v>
      </c>
      <c r="AM27" s="131">
        <f t="shared" si="14"/>
        <v>6526.426877470356</v>
      </c>
      <c r="AN27" s="134">
        <f>'3A_Level 3'!K27</f>
        <v>2175491</v>
      </c>
      <c r="AO27" s="135">
        <f t="shared" si="15"/>
        <v>781.70715055695291</v>
      </c>
      <c r="AP27" s="132">
        <f t="shared" si="34"/>
        <v>19861650</v>
      </c>
      <c r="AQ27" s="131">
        <f t="shared" si="16"/>
        <v>7136.7768595041325</v>
      </c>
      <c r="AR27" s="133">
        <f t="shared" si="35"/>
        <v>0.70824736533185373</v>
      </c>
      <c r="AS27" s="136">
        <f t="shared" si="36"/>
        <v>8</v>
      </c>
      <c r="AT27" s="131">
        <f t="shared" si="17"/>
        <v>8181730</v>
      </c>
      <c r="AU27" s="131">
        <f t="shared" si="18"/>
        <v>2939.9</v>
      </c>
      <c r="AV27" s="136">
        <f t="shared" si="37"/>
        <v>59</v>
      </c>
      <c r="AW27" s="133">
        <f t="shared" si="38"/>
        <v>0.29175263466814627</v>
      </c>
      <c r="AX27" s="135">
        <f t="shared" si="39"/>
        <v>28043380</v>
      </c>
      <c r="AY27" s="135">
        <f t="shared" si="19"/>
        <v>10076.672655407834</v>
      </c>
      <c r="AZ27" s="136">
        <f t="shared" si="40"/>
        <v>21</v>
      </c>
    </row>
    <row r="28" spans="1:52" ht="15.6" customHeight="1" x14ac:dyDescent="0.2">
      <c r="A28" s="121">
        <v>22</v>
      </c>
      <c r="B28" s="122" t="s">
        <v>152</v>
      </c>
      <c r="C28" s="137">
        <f>'8_2.1.21 SIS'!AV28</f>
        <v>2827</v>
      </c>
      <c r="D28" s="123">
        <v>2237</v>
      </c>
      <c r="E28" s="123">
        <f t="shared" si="20"/>
        <v>492.14</v>
      </c>
      <c r="F28" s="124">
        <v>1760</v>
      </c>
      <c r="G28" s="123">
        <f t="shared" si="21"/>
        <v>105.6</v>
      </c>
      <c r="H28" s="123">
        <v>591</v>
      </c>
      <c r="I28" s="123">
        <f t="shared" si="22"/>
        <v>886.5</v>
      </c>
      <c r="J28" s="123">
        <v>12</v>
      </c>
      <c r="K28" s="123">
        <f t="shared" si="23"/>
        <v>7.1999999999999993</v>
      </c>
      <c r="L28" s="123">
        <f t="shared" si="1"/>
        <v>4673</v>
      </c>
      <c r="M28" s="126">
        <f t="shared" si="2"/>
        <v>0.12461</v>
      </c>
      <c r="N28" s="123">
        <f t="shared" si="3"/>
        <v>352.27247</v>
      </c>
      <c r="O28" s="123">
        <f t="shared" si="24"/>
        <v>1843.7124699999999</v>
      </c>
      <c r="P28" s="123">
        <f t="shared" si="4"/>
        <v>4670.7124700000004</v>
      </c>
      <c r="Q28" s="127">
        <f t="shared" si="25"/>
        <v>4015</v>
      </c>
      <c r="R28" s="127">
        <f t="shared" si="5"/>
        <v>18752911</v>
      </c>
      <c r="S28" s="127">
        <f>'6_Local Deduct Calc'!J28</f>
        <v>2177443</v>
      </c>
      <c r="T28" s="127">
        <f t="shared" si="26"/>
        <v>2177443</v>
      </c>
      <c r="U28" s="128">
        <f t="shared" si="27"/>
        <v>16575468</v>
      </c>
      <c r="V28" s="129">
        <f t="shared" si="41"/>
        <v>0.88390000000000002</v>
      </c>
      <c r="W28" s="129">
        <f t="shared" si="28"/>
        <v>0.11609999999999999</v>
      </c>
      <c r="X28" s="130">
        <f t="shared" si="6"/>
        <v>770.23098691192081</v>
      </c>
      <c r="Y28" s="127">
        <f>'7_Local Revenue'!AS28</f>
        <v>6488999</v>
      </c>
      <c r="Z28" s="127">
        <f t="shared" si="29"/>
        <v>4311556</v>
      </c>
      <c r="AA28" s="131">
        <f t="shared" si="30"/>
        <v>0</v>
      </c>
      <c r="AB28" s="131">
        <f t="shared" si="7"/>
        <v>6375989.7400000002</v>
      </c>
      <c r="AC28" s="131">
        <f t="shared" si="8"/>
        <v>4311556</v>
      </c>
      <c r="AD28" s="127">
        <f t="shared" si="9"/>
        <v>860983.2407519999</v>
      </c>
      <c r="AE28" s="132">
        <f t="shared" si="31"/>
        <v>3450573</v>
      </c>
      <c r="AF28" s="131">
        <f t="shared" si="10"/>
        <v>1221</v>
      </c>
      <c r="AG28" s="133">
        <f t="shared" si="32"/>
        <v>0.80030000000000001</v>
      </c>
      <c r="AH28" s="132">
        <f t="shared" si="11"/>
        <v>20026041</v>
      </c>
      <c r="AI28" s="131">
        <f t="shared" si="12"/>
        <v>7084</v>
      </c>
      <c r="AJ28" s="132">
        <f>'3A_Level 3'!J28</f>
        <v>484427</v>
      </c>
      <c r="AK28" s="131">
        <f t="shared" si="13"/>
        <v>171.35726918995402</v>
      </c>
      <c r="AL28" s="132">
        <f t="shared" si="33"/>
        <v>20510468</v>
      </c>
      <c r="AM28" s="131">
        <f t="shared" si="14"/>
        <v>7255.206225680934</v>
      </c>
      <c r="AN28" s="134">
        <f>'3A_Level 3'!K28</f>
        <v>1887637</v>
      </c>
      <c r="AO28" s="135">
        <f t="shared" si="15"/>
        <v>667.71736823487799</v>
      </c>
      <c r="AP28" s="132">
        <f t="shared" si="34"/>
        <v>21913678</v>
      </c>
      <c r="AQ28" s="131">
        <f t="shared" si="16"/>
        <v>7751.5663247258581</v>
      </c>
      <c r="AR28" s="133">
        <f t="shared" si="35"/>
        <v>0.77153565489619169</v>
      </c>
      <c r="AS28" s="136">
        <f t="shared" si="36"/>
        <v>2</v>
      </c>
      <c r="AT28" s="131">
        <f t="shared" si="17"/>
        <v>6488999</v>
      </c>
      <c r="AU28" s="131">
        <f t="shared" si="18"/>
        <v>2295.37</v>
      </c>
      <c r="AV28" s="136">
        <f t="shared" si="37"/>
        <v>68</v>
      </c>
      <c r="AW28" s="133">
        <f t="shared" si="38"/>
        <v>0.22846434510380834</v>
      </c>
      <c r="AX28" s="135">
        <f t="shared" si="39"/>
        <v>28402677</v>
      </c>
      <c r="AY28" s="135">
        <f t="shared" si="19"/>
        <v>10046.932083480722</v>
      </c>
      <c r="AZ28" s="136">
        <f t="shared" si="40"/>
        <v>22</v>
      </c>
    </row>
    <row r="29" spans="1:52" ht="15.6" customHeight="1" x14ac:dyDescent="0.2">
      <c r="A29" s="121">
        <v>23</v>
      </c>
      <c r="B29" s="122" t="s">
        <v>153</v>
      </c>
      <c r="C29" s="137">
        <f>'8_2.1.21 SIS'!AV29</f>
        <v>11698</v>
      </c>
      <c r="D29" s="123">
        <v>8933</v>
      </c>
      <c r="E29" s="123">
        <f t="shared" si="20"/>
        <v>1965.26</v>
      </c>
      <c r="F29" s="124">
        <v>5910</v>
      </c>
      <c r="G29" s="123">
        <f t="shared" si="21"/>
        <v>354.59999999999997</v>
      </c>
      <c r="H29" s="123">
        <v>1667</v>
      </c>
      <c r="I29" s="123">
        <f t="shared" si="22"/>
        <v>2500.5</v>
      </c>
      <c r="J29" s="123">
        <v>407</v>
      </c>
      <c r="K29" s="123">
        <f t="shared" si="23"/>
        <v>244.2</v>
      </c>
      <c r="L29" s="123">
        <f t="shared" si="1"/>
        <v>0</v>
      </c>
      <c r="M29" s="126">
        <f t="shared" si="2"/>
        <v>0</v>
      </c>
      <c r="N29" s="123">
        <f t="shared" si="3"/>
        <v>0</v>
      </c>
      <c r="O29" s="123">
        <f t="shared" si="24"/>
        <v>5064.5600000000004</v>
      </c>
      <c r="P29" s="123">
        <f t="shared" si="4"/>
        <v>16762.560000000001</v>
      </c>
      <c r="Q29" s="127">
        <f t="shared" si="25"/>
        <v>4015</v>
      </c>
      <c r="R29" s="127">
        <f t="shared" si="5"/>
        <v>67301678</v>
      </c>
      <c r="S29" s="127">
        <f>'6_Local Deduct Calc'!J29</f>
        <v>18328510</v>
      </c>
      <c r="T29" s="127">
        <f t="shared" si="26"/>
        <v>18328510</v>
      </c>
      <c r="U29" s="128">
        <f t="shared" si="27"/>
        <v>48973168</v>
      </c>
      <c r="V29" s="129">
        <f t="shared" si="41"/>
        <v>0.72770000000000001</v>
      </c>
      <c r="W29" s="129">
        <f t="shared" si="28"/>
        <v>0.27229999999999999</v>
      </c>
      <c r="X29" s="130">
        <f t="shared" si="6"/>
        <v>1566.8071465207727</v>
      </c>
      <c r="Y29" s="127">
        <f>'7_Local Revenue'!AS29</f>
        <v>46064325</v>
      </c>
      <c r="Z29" s="127">
        <f t="shared" si="29"/>
        <v>27735815</v>
      </c>
      <c r="AA29" s="131">
        <f t="shared" si="30"/>
        <v>0</v>
      </c>
      <c r="AB29" s="131">
        <f t="shared" si="7"/>
        <v>22882570.520000003</v>
      </c>
      <c r="AC29" s="131">
        <f t="shared" si="8"/>
        <v>22882570.520000003</v>
      </c>
      <c r="AD29" s="127">
        <f t="shared" si="9"/>
        <v>10717189.198465122</v>
      </c>
      <c r="AE29" s="132">
        <f t="shared" si="31"/>
        <v>12165381</v>
      </c>
      <c r="AF29" s="131">
        <f t="shared" si="10"/>
        <v>1040</v>
      </c>
      <c r="AG29" s="133">
        <f t="shared" si="32"/>
        <v>0.53159999999999996</v>
      </c>
      <c r="AH29" s="132">
        <f t="shared" si="11"/>
        <v>61138549</v>
      </c>
      <c r="AI29" s="131">
        <f t="shared" si="12"/>
        <v>5226</v>
      </c>
      <c r="AJ29" s="132">
        <f>'3A_Level 3'!J29</f>
        <v>2004537</v>
      </c>
      <c r="AK29" s="131">
        <f t="shared" si="13"/>
        <v>171.35724055394084</v>
      </c>
      <c r="AL29" s="132">
        <f t="shared" si="33"/>
        <v>63143086</v>
      </c>
      <c r="AM29" s="131">
        <f t="shared" si="14"/>
        <v>5397.7676525901861</v>
      </c>
      <c r="AN29" s="134">
        <f>'3A_Level 3'!K29</f>
        <v>10059546</v>
      </c>
      <c r="AO29" s="135">
        <f t="shared" si="15"/>
        <v>859.9372542314926</v>
      </c>
      <c r="AP29" s="132">
        <f t="shared" si="34"/>
        <v>71198095</v>
      </c>
      <c r="AQ29" s="131">
        <f t="shared" si="16"/>
        <v>6086.3476662677376</v>
      </c>
      <c r="AR29" s="133">
        <f t="shared" si="35"/>
        <v>0.63338330408207932</v>
      </c>
      <c r="AS29" s="136">
        <f t="shared" si="36"/>
        <v>34</v>
      </c>
      <c r="AT29" s="131">
        <f t="shared" si="17"/>
        <v>41211080.520000003</v>
      </c>
      <c r="AU29" s="131">
        <f t="shared" si="18"/>
        <v>3522.92</v>
      </c>
      <c r="AV29" s="136">
        <f t="shared" si="37"/>
        <v>39</v>
      </c>
      <c r="AW29" s="133">
        <f t="shared" si="38"/>
        <v>0.36661669591792057</v>
      </c>
      <c r="AX29" s="135">
        <f t="shared" si="39"/>
        <v>112409175.52000001</v>
      </c>
      <c r="AY29" s="135">
        <f t="shared" si="19"/>
        <v>9609.2644486236968</v>
      </c>
      <c r="AZ29" s="136">
        <f t="shared" si="40"/>
        <v>37</v>
      </c>
    </row>
    <row r="30" spans="1:52" ht="15.6" customHeight="1" x14ac:dyDescent="0.2">
      <c r="A30" s="121">
        <v>24</v>
      </c>
      <c r="B30" s="122" t="s">
        <v>154</v>
      </c>
      <c r="C30" s="137">
        <f>'8_2.1.21 SIS'!AV30</f>
        <v>4182</v>
      </c>
      <c r="D30" s="123">
        <v>3379</v>
      </c>
      <c r="E30" s="123">
        <f t="shared" si="20"/>
        <v>743.38</v>
      </c>
      <c r="F30" s="124">
        <v>1556</v>
      </c>
      <c r="G30" s="123">
        <f t="shared" si="21"/>
        <v>93.36</v>
      </c>
      <c r="H30" s="123">
        <v>499</v>
      </c>
      <c r="I30" s="123">
        <f t="shared" si="22"/>
        <v>748.5</v>
      </c>
      <c r="J30" s="123">
        <v>140</v>
      </c>
      <c r="K30" s="123">
        <f t="shared" si="23"/>
        <v>84</v>
      </c>
      <c r="L30" s="123">
        <f t="shared" si="1"/>
        <v>3318</v>
      </c>
      <c r="M30" s="126">
        <f t="shared" si="2"/>
        <v>8.8480000000000003E-2</v>
      </c>
      <c r="N30" s="123">
        <f t="shared" si="3"/>
        <v>370.02336000000003</v>
      </c>
      <c r="O30" s="123">
        <f t="shared" si="24"/>
        <v>2039.2633599999999</v>
      </c>
      <c r="P30" s="123">
        <f t="shared" si="4"/>
        <v>6221.2633599999999</v>
      </c>
      <c r="Q30" s="127">
        <f t="shared" si="25"/>
        <v>4015</v>
      </c>
      <c r="R30" s="127">
        <f t="shared" si="5"/>
        <v>24978372</v>
      </c>
      <c r="S30" s="127">
        <f>'6_Local Deduct Calc'!J30</f>
        <v>19667864</v>
      </c>
      <c r="T30" s="127">
        <f t="shared" si="26"/>
        <v>18733779</v>
      </c>
      <c r="U30" s="128">
        <f t="shared" si="27"/>
        <v>6244593</v>
      </c>
      <c r="V30" s="129">
        <f t="shared" si="41"/>
        <v>0.25</v>
      </c>
      <c r="W30" s="129">
        <f t="shared" si="28"/>
        <v>0.75</v>
      </c>
      <c r="X30" s="130">
        <f t="shared" si="6"/>
        <v>4479.6219512195121</v>
      </c>
      <c r="Y30" s="127">
        <f>'7_Local Revenue'!AS30</f>
        <v>69855866</v>
      </c>
      <c r="Z30" s="127">
        <f t="shared" si="29"/>
        <v>51122087</v>
      </c>
      <c r="AA30" s="131">
        <f t="shared" si="30"/>
        <v>0</v>
      </c>
      <c r="AB30" s="131">
        <f t="shared" si="7"/>
        <v>8492646.4800000004</v>
      </c>
      <c r="AC30" s="131">
        <f t="shared" si="8"/>
        <v>8492646.4800000004</v>
      </c>
      <c r="AD30" s="127">
        <f t="shared" si="9"/>
        <v>10955513.9592</v>
      </c>
      <c r="AE30" s="132">
        <f t="shared" si="31"/>
        <v>0</v>
      </c>
      <c r="AF30" s="131">
        <f t="shared" si="10"/>
        <v>0</v>
      </c>
      <c r="AG30" s="133">
        <f t="shared" si="32"/>
        <v>0</v>
      </c>
      <c r="AH30" s="132">
        <f t="shared" si="11"/>
        <v>6244593</v>
      </c>
      <c r="AI30" s="131">
        <f t="shared" si="12"/>
        <v>1493</v>
      </c>
      <c r="AJ30" s="132">
        <f>'3A_Level 3'!J30</f>
        <v>2072934</v>
      </c>
      <c r="AK30" s="131">
        <f t="shared" si="13"/>
        <v>495.68005738880919</v>
      </c>
      <c r="AL30" s="132">
        <f t="shared" si="33"/>
        <v>8317527</v>
      </c>
      <c r="AM30" s="131">
        <f t="shared" si="14"/>
        <v>1988.88737446198</v>
      </c>
      <c r="AN30" s="134">
        <f>'3A_Level 3'!K30</f>
        <v>5645408</v>
      </c>
      <c r="AO30" s="135">
        <f t="shared" si="15"/>
        <v>1349.9301769488284</v>
      </c>
      <c r="AP30" s="132">
        <f t="shared" si="34"/>
        <v>11890001</v>
      </c>
      <c r="AQ30" s="131">
        <f t="shared" si="16"/>
        <v>2843.1374940219989</v>
      </c>
      <c r="AR30" s="133">
        <f t="shared" si="35"/>
        <v>0.30396439731219532</v>
      </c>
      <c r="AS30" s="136">
        <f t="shared" si="36"/>
        <v>66</v>
      </c>
      <c r="AT30" s="131">
        <f t="shared" si="17"/>
        <v>27226425.48</v>
      </c>
      <c r="AU30" s="131">
        <f t="shared" si="18"/>
        <v>6510.38</v>
      </c>
      <c r="AV30" s="136">
        <f t="shared" si="37"/>
        <v>4</v>
      </c>
      <c r="AW30" s="133">
        <f t="shared" si="38"/>
        <v>0.69603560268780451</v>
      </c>
      <c r="AX30" s="135">
        <f t="shared" si="39"/>
        <v>39116426.480000004</v>
      </c>
      <c r="AY30" s="135">
        <f t="shared" si="19"/>
        <v>9353.5213964610248</v>
      </c>
      <c r="AZ30" s="136">
        <f t="shared" si="40"/>
        <v>50</v>
      </c>
    </row>
    <row r="31" spans="1:52" ht="15.6" customHeight="1" x14ac:dyDescent="0.2">
      <c r="A31" s="138">
        <v>25</v>
      </c>
      <c r="B31" s="139" t="s">
        <v>155</v>
      </c>
      <c r="C31" s="140">
        <f>'8_2.1.21 SIS'!AV31</f>
        <v>2137</v>
      </c>
      <c r="D31" s="141">
        <v>1494</v>
      </c>
      <c r="E31" s="141">
        <f t="shared" si="20"/>
        <v>328.68</v>
      </c>
      <c r="F31" s="142">
        <v>1644.5</v>
      </c>
      <c r="G31" s="141">
        <f t="shared" si="21"/>
        <v>98.67</v>
      </c>
      <c r="H31" s="141">
        <v>235</v>
      </c>
      <c r="I31" s="141">
        <f t="shared" si="22"/>
        <v>352.5</v>
      </c>
      <c r="J31" s="141">
        <v>72</v>
      </c>
      <c r="K31" s="141">
        <f t="shared" si="23"/>
        <v>43.199999999999996</v>
      </c>
      <c r="L31" s="141">
        <f t="shared" si="1"/>
        <v>5363</v>
      </c>
      <c r="M31" s="143">
        <f t="shared" si="2"/>
        <v>0.14301</v>
      </c>
      <c r="N31" s="141">
        <f t="shared" si="3"/>
        <v>305.61237</v>
      </c>
      <c r="O31" s="141">
        <f t="shared" si="24"/>
        <v>1128.66237</v>
      </c>
      <c r="P31" s="144">
        <f t="shared" si="4"/>
        <v>3265.66237</v>
      </c>
      <c r="Q31" s="145">
        <f t="shared" si="25"/>
        <v>4015</v>
      </c>
      <c r="R31" s="145">
        <f t="shared" si="5"/>
        <v>13111634</v>
      </c>
      <c r="S31" s="145">
        <f>'6_Local Deduct Calc'!J31</f>
        <v>4245840</v>
      </c>
      <c r="T31" s="145">
        <f t="shared" si="26"/>
        <v>4245840</v>
      </c>
      <c r="U31" s="146">
        <f t="shared" si="27"/>
        <v>8865794</v>
      </c>
      <c r="V31" s="147">
        <f t="shared" si="41"/>
        <v>0.67620000000000002</v>
      </c>
      <c r="W31" s="148">
        <f t="shared" si="28"/>
        <v>0.32379999999999998</v>
      </c>
      <c r="X31" s="149">
        <f t="shared" si="6"/>
        <v>1986.8226485727655</v>
      </c>
      <c r="Y31" s="145">
        <f>'7_Local Revenue'!AS31</f>
        <v>10436414</v>
      </c>
      <c r="Z31" s="145">
        <f t="shared" si="29"/>
        <v>6190574</v>
      </c>
      <c r="AA31" s="150">
        <f t="shared" si="30"/>
        <v>0</v>
      </c>
      <c r="AB31" s="150">
        <f t="shared" si="7"/>
        <v>4457955.5600000005</v>
      </c>
      <c r="AC31" s="150">
        <f t="shared" si="8"/>
        <v>4457955.5600000005</v>
      </c>
      <c r="AD31" s="145">
        <f t="shared" si="9"/>
        <v>2482795.9377641603</v>
      </c>
      <c r="AE31" s="151">
        <f t="shared" si="31"/>
        <v>1975160</v>
      </c>
      <c r="AF31" s="150">
        <f t="shared" si="10"/>
        <v>924</v>
      </c>
      <c r="AG31" s="152">
        <f t="shared" si="32"/>
        <v>0.44309999999999999</v>
      </c>
      <c r="AH31" s="151">
        <f t="shared" si="11"/>
        <v>10840954</v>
      </c>
      <c r="AI31" s="150">
        <f t="shared" si="12"/>
        <v>5073</v>
      </c>
      <c r="AJ31" s="151">
        <f>'3A_Level 3'!J31</f>
        <v>366190</v>
      </c>
      <c r="AK31" s="150">
        <f t="shared" si="13"/>
        <v>171.35704258306038</v>
      </c>
      <c r="AL31" s="151">
        <f t="shared" si="33"/>
        <v>11207144</v>
      </c>
      <c r="AM31" s="150">
        <f t="shared" si="14"/>
        <v>5244.3350491343008</v>
      </c>
      <c r="AN31" s="153">
        <f>'3A_Level 3'!K31</f>
        <v>1763211</v>
      </c>
      <c r="AO31" s="154">
        <f t="shared" si="15"/>
        <v>825.08703790360323</v>
      </c>
      <c r="AP31" s="151">
        <f t="shared" si="34"/>
        <v>12604165</v>
      </c>
      <c r="AQ31" s="150">
        <f t="shared" si="16"/>
        <v>5898.0650444548428</v>
      </c>
      <c r="AR31" s="152">
        <f t="shared" si="35"/>
        <v>0.59152376242243232</v>
      </c>
      <c r="AS31" s="155">
        <f t="shared" si="36"/>
        <v>45</v>
      </c>
      <c r="AT31" s="150">
        <f t="shared" si="17"/>
        <v>8703795.5600000005</v>
      </c>
      <c r="AU31" s="150">
        <f t="shared" si="18"/>
        <v>4072.9</v>
      </c>
      <c r="AV31" s="155">
        <f t="shared" si="37"/>
        <v>25</v>
      </c>
      <c r="AW31" s="152">
        <f t="shared" si="38"/>
        <v>0.40847623757756757</v>
      </c>
      <c r="AX31" s="154">
        <f t="shared" si="39"/>
        <v>21307960.560000002</v>
      </c>
      <c r="AY31" s="154">
        <f t="shared" si="19"/>
        <v>9970.9689096864768</v>
      </c>
      <c r="AZ31" s="155">
        <f t="shared" si="40"/>
        <v>26</v>
      </c>
    </row>
    <row r="32" spans="1:52" ht="15.6" customHeight="1" x14ac:dyDescent="0.2">
      <c r="A32" s="121">
        <v>26</v>
      </c>
      <c r="B32" s="122" t="s">
        <v>156</v>
      </c>
      <c r="C32" s="123">
        <f>'8_2.1.21 SIS'!AV32</f>
        <v>49838</v>
      </c>
      <c r="D32" s="123">
        <v>41258</v>
      </c>
      <c r="E32" s="123">
        <f t="shared" si="20"/>
        <v>9076.76</v>
      </c>
      <c r="F32" s="124">
        <v>17818</v>
      </c>
      <c r="G32" s="123">
        <f t="shared" si="21"/>
        <v>1069.08</v>
      </c>
      <c r="H32" s="123">
        <v>6696</v>
      </c>
      <c r="I32" s="123">
        <f t="shared" si="22"/>
        <v>10044</v>
      </c>
      <c r="J32" s="123">
        <v>2869</v>
      </c>
      <c r="K32" s="123">
        <f t="shared" si="23"/>
        <v>1721.3999999999999</v>
      </c>
      <c r="L32" s="125">
        <f t="shared" si="1"/>
        <v>0</v>
      </c>
      <c r="M32" s="126">
        <f t="shared" si="2"/>
        <v>0</v>
      </c>
      <c r="N32" s="123">
        <f t="shared" si="3"/>
        <v>0</v>
      </c>
      <c r="O32" s="123">
        <f t="shared" si="24"/>
        <v>21911.24</v>
      </c>
      <c r="P32" s="123">
        <f t="shared" si="4"/>
        <v>71749.240000000005</v>
      </c>
      <c r="Q32" s="127">
        <f t="shared" si="25"/>
        <v>4015</v>
      </c>
      <c r="R32" s="127">
        <f t="shared" si="5"/>
        <v>288073199</v>
      </c>
      <c r="S32" s="127">
        <f>'6_Local Deduct Calc'!J32</f>
        <v>128167697</v>
      </c>
      <c r="T32" s="127">
        <f t="shared" si="26"/>
        <v>128167697</v>
      </c>
      <c r="U32" s="128">
        <f t="shared" si="27"/>
        <v>159905502</v>
      </c>
      <c r="V32" s="129">
        <f t="shared" si="41"/>
        <v>0.55510000000000004</v>
      </c>
      <c r="W32" s="129">
        <f t="shared" si="28"/>
        <v>0.44490000000000002</v>
      </c>
      <c r="X32" s="130">
        <f t="shared" si="6"/>
        <v>2571.6862032986878</v>
      </c>
      <c r="Y32" s="127">
        <f>'7_Local Revenue'!AS32</f>
        <v>323097297</v>
      </c>
      <c r="Z32" s="127">
        <f t="shared" si="29"/>
        <v>194929600</v>
      </c>
      <c r="AA32" s="131">
        <f t="shared" si="30"/>
        <v>0</v>
      </c>
      <c r="AB32" s="131">
        <f t="shared" si="7"/>
        <v>97944887.660000011</v>
      </c>
      <c r="AC32" s="131">
        <f t="shared" si="8"/>
        <v>97944887.660000011</v>
      </c>
      <c r="AD32" s="127">
        <f t="shared" si="9"/>
        <v>74950170.494286492</v>
      </c>
      <c r="AE32" s="132">
        <f t="shared" si="31"/>
        <v>22994717</v>
      </c>
      <c r="AF32" s="131">
        <f t="shared" si="10"/>
        <v>461</v>
      </c>
      <c r="AG32" s="133">
        <f t="shared" si="32"/>
        <v>0.23480000000000001</v>
      </c>
      <c r="AH32" s="132">
        <f t="shared" si="11"/>
        <v>182900219</v>
      </c>
      <c r="AI32" s="131">
        <f t="shared" si="12"/>
        <v>3670</v>
      </c>
      <c r="AJ32" s="132">
        <f>'3A_Level 3'!J32</f>
        <v>19881547</v>
      </c>
      <c r="AK32" s="131">
        <f t="shared" si="13"/>
        <v>398.92345198442956</v>
      </c>
      <c r="AL32" s="132">
        <f t="shared" si="33"/>
        <v>202781766</v>
      </c>
      <c r="AM32" s="131">
        <f t="shared" si="14"/>
        <v>4068.8182912636944</v>
      </c>
      <c r="AN32" s="134">
        <f>'3A_Level 3'!K32</f>
        <v>61587481</v>
      </c>
      <c r="AO32" s="135">
        <f t="shared" si="15"/>
        <v>1235.7534612143345</v>
      </c>
      <c r="AP32" s="132">
        <f t="shared" si="34"/>
        <v>244487700</v>
      </c>
      <c r="AQ32" s="131">
        <f t="shared" si="16"/>
        <v>4905.648300493599</v>
      </c>
      <c r="AR32" s="133">
        <f t="shared" si="35"/>
        <v>0.51952306016269811</v>
      </c>
      <c r="AS32" s="136">
        <f t="shared" si="36"/>
        <v>54</v>
      </c>
      <c r="AT32" s="131">
        <f t="shared" si="17"/>
        <v>226112584.66</v>
      </c>
      <c r="AU32" s="131">
        <f t="shared" si="18"/>
        <v>4536.95</v>
      </c>
      <c r="AV32" s="136">
        <f t="shared" si="37"/>
        <v>17</v>
      </c>
      <c r="AW32" s="133">
        <f t="shared" si="38"/>
        <v>0.480476939837302</v>
      </c>
      <c r="AX32" s="135">
        <f t="shared" si="39"/>
        <v>470600284.65999997</v>
      </c>
      <c r="AY32" s="135">
        <f t="shared" si="19"/>
        <v>9442.5997162807489</v>
      </c>
      <c r="AZ32" s="136">
        <f t="shared" si="40"/>
        <v>47</v>
      </c>
    </row>
    <row r="33" spans="1:52" ht="15.6" customHeight="1" x14ac:dyDescent="0.2">
      <c r="A33" s="121">
        <v>27</v>
      </c>
      <c r="B33" s="122" t="s">
        <v>157</v>
      </c>
      <c r="C33" s="137">
        <f>'8_2.1.21 SIS'!AV33</f>
        <v>5391</v>
      </c>
      <c r="D33" s="123">
        <v>4116</v>
      </c>
      <c r="E33" s="123">
        <f t="shared" si="20"/>
        <v>905.52</v>
      </c>
      <c r="F33" s="124">
        <v>3566</v>
      </c>
      <c r="G33" s="123">
        <f t="shared" si="21"/>
        <v>213.95999999999998</v>
      </c>
      <c r="H33" s="123">
        <v>747</v>
      </c>
      <c r="I33" s="123">
        <f t="shared" si="22"/>
        <v>1120.5</v>
      </c>
      <c r="J33" s="123">
        <v>119</v>
      </c>
      <c r="K33" s="123">
        <f t="shared" si="23"/>
        <v>71.399999999999991</v>
      </c>
      <c r="L33" s="123">
        <f t="shared" si="1"/>
        <v>2109</v>
      </c>
      <c r="M33" s="126">
        <f t="shared" si="2"/>
        <v>5.6239999999999998E-2</v>
      </c>
      <c r="N33" s="123">
        <f t="shared" si="3"/>
        <v>303.18984</v>
      </c>
      <c r="O33" s="123">
        <f t="shared" si="24"/>
        <v>2614.5698400000001</v>
      </c>
      <c r="P33" s="123">
        <f t="shared" si="4"/>
        <v>8005.5698400000001</v>
      </c>
      <c r="Q33" s="127">
        <f t="shared" si="25"/>
        <v>4015</v>
      </c>
      <c r="R33" s="127">
        <f t="shared" si="5"/>
        <v>32142363</v>
      </c>
      <c r="S33" s="127">
        <f>'6_Local Deduct Calc'!J33</f>
        <v>7010326</v>
      </c>
      <c r="T33" s="127">
        <f t="shared" si="26"/>
        <v>7010326</v>
      </c>
      <c r="U33" s="128">
        <f t="shared" si="27"/>
        <v>25132037</v>
      </c>
      <c r="V33" s="129">
        <f t="shared" si="41"/>
        <v>0.78190000000000004</v>
      </c>
      <c r="W33" s="129">
        <f t="shared" si="28"/>
        <v>0.21809999999999999</v>
      </c>
      <c r="X33" s="130">
        <f t="shared" si="6"/>
        <v>1300.3758115377482</v>
      </c>
      <c r="Y33" s="127">
        <f>'7_Local Revenue'!AS33</f>
        <v>20794783</v>
      </c>
      <c r="Z33" s="127">
        <f t="shared" si="29"/>
        <v>13784457</v>
      </c>
      <c r="AA33" s="131">
        <f t="shared" si="30"/>
        <v>0</v>
      </c>
      <c r="AB33" s="131">
        <f t="shared" si="7"/>
        <v>10928403.42</v>
      </c>
      <c r="AC33" s="131">
        <f t="shared" si="8"/>
        <v>10928403.42</v>
      </c>
      <c r="AD33" s="127">
        <f t="shared" si="9"/>
        <v>4099593.8317514397</v>
      </c>
      <c r="AE33" s="132">
        <f t="shared" si="31"/>
        <v>6828810</v>
      </c>
      <c r="AF33" s="131">
        <f t="shared" si="10"/>
        <v>1267</v>
      </c>
      <c r="AG33" s="133">
        <f t="shared" si="32"/>
        <v>0.62490000000000001</v>
      </c>
      <c r="AH33" s="132">
        <f t="shared" si="11"/>
        <v>31960847</v>
      </c>
      <c r="AI33" s="131">
        <f t="shared" si="12"/>
        <v>5929</v>
      </c>
      <c r="AJ33" s="132">
        <f>'3A_Level 3'!J33</f>
        <v>923787</v>
      </c>
      <c r="AK33" s="131">
        <f t="shared" si="13"/>
        <v>171.35726210350583</v>
      </c>
      <c r="AL33" s="132">
        <f t="shared" si="33"/>
        <v>32884634</v>
      </c>
      <c r="AM33" s="131">
        <f t="shared" si="14"/>
        <v>6099.9135596364313</v>
      </c>
      <c r="AN33" s="134">
        <f>'3A_Level 3'!K33</f>
        <v>4660073</v>
      </c>
      <c r="AO33" s="135">
        <f t="shared" si="15"/>
        <v>864.41717677610836</v>
      </c>
      <c r="AP33" s="132">
        <f t="shared" si="34"/>
        <v>36620920</v>
      </c>
      <c r="AQ33" s="131">
        <f t="shared" si="16"/>
        <v>6792.9734743090339</v>
      </c>
      <c r="AR33" s="133">
        <f t="shared" si="35"/>
        <v>0.67120885836513133</v>
      </c>
      <c r="AS33" s="136">
        <f t="shared" si="36"/>
        <v>21</v>
      </c>
      <c r="AT33" s="131">
        <f t="shared" si="17"/>
        <v>17938729.420000002</v>
      </c>
      <c r="AU33" s="131">
        <f t="shared" si="18"/>
        <v>3327.53</v>
      </c>
      <c r="AV33" s="136">
        <f t="shared" si="37"/>
        <v>50</v>
      </c>
      <c r="AW33" s="133">
        <f t="shared" si="38"/>
        <v>0.32879114163486867</v>
      </c>
      <c r="AX33" s="135">
        <f t="shared" si="39"/>
        <v>54559649.420000002</v>
      </c>
      <c r="AY33" s="135">
        <f t="shared" si="19"/>
        <v>10120.506291968095</v>
      </c>
      <c r="AZ33" s="136">
        <f t="shared" si="40"/>
        <v>19</v>
      </c>
    </row>
    <row r="34" spans="1:52" ht="15.6" customHeight="1" x14ac:dyDescent="0.2">
      <c r="A34" s="121">
        <v>28</v>
      </c>
      <c r="B34" s="122" t="s">
        <v>158</v>
      </c>
      <c r="C34" s="137">
        <f>'8_2.1.21 SIS'!AV34</f>
        <v>33561</v>
      </c>
      <c r="D34" s="123">
        <v>22486</v>
      </c>
      <c r="E34" s="123">
        <f t="shared" si="20"/>
        <v>4946.92</v>
      </c>
      <c r="F34" s="124">
        <v>12418.5</v>
      </c>
      <c r="G34" s="123">
        <f t="shared" si="21"/>
        <v>745.11</v>
      </c>
      <c r="H34" s="123">
        <v>3256</v>
      </c>
      <c r="I34" s="123">
        <f t="shared" si="22"/>
        <v>4884</v>
      </c>
      <c r="J34" s="123">
        <v>1443</v>
      </c>
      <c r="K34" s="123">
        <f t="shared" si="23"/>
        <v>865.8</v>
      </c>
      <c r="L34" s="123">
        <f t="shared" si="1"/>
        <v>0</v>
      </c>
      <c r="M34" s="126">
        <f t="shared" si="2"/>
        <v>0</v>
      </c>
      <c r="N34" s="123">
        <f t="shared" si="3"/>
        <v>0</v>
      </c>
      <c r="O34" s="123">
        <f t="shared" si="24"/>
        <v>11441.829999999998</v>
      </c>
      <c r="P34" s="123">
        <f t="shared" si="4"/>
        <v>45002.83</v>
      </c>
      <c r="Q34" s="127">
        <f t="shared" si="25"/>
        <v>4015</v>
      </c>
      <c r="R34" s="127">
        <f t="shared" si="5"/>
        <v>180686362</v>
      </c>
      <c r="S34" s="127">
        <f>'6_Local Deduct Calc'!J34</f>
        <v>76333315</v>
      </c>
      <c r="T34" s="127">
        <f t="shared" si="26"/>
        <v>76333315</v>
      </c>
      <c r="U34" s="128">
        <f t="shared" si="27"/>
        <v>104353047</v>
      </c>
      <c r="V34" s="129">
        <f t="shared" si="41"/>
        <v>0.57750000000000001</v>
      </c>
      <c r="W34" s="129">
        <f t="shared" si="28"/>
        <v>0.42249999999999999</v>
      </c>
      <c r="X34" s="130">
        <f t="shared" si="6"/>
        <v>2274.4648550400761</v>
      </c>
      <c r="Y34" s="127">
        <f>'7_Local Revenue'!AS34</f>
        <v>193295477</v>
      </c>
      <c r="Z34" s="127">
        <f t="shared" si="29"/>
        <v>116962162</v>
      </c>
      <c r="AA34" s="131">
        <f t="shared" si="30"/>
        <v>0</v>
      </c>
      <c r="AB34" s="131">
        <f t="shared" si="7"/>
        <v>61433363.080000006</v>
      </c>
      <c r="AC34" s="131">
        <f t="shared" si="8"/>
        <v>61433363.080000006</v>
      </c>
      <c r="AD34" s="127">
        <f t="shared" si="9"/>
        <v>44643624.950236008</v>
      </c>
      <c r="AE34" s="132">
        <f t="shared" si="31"/>
        <v>16789738</v>
      </c>
      <c r="AF34" s="131">
        <f t="shared" si="10"/>
        <v>500</v>
      </c>
      <c r="AG34" s="133">
        <f t="shared" si="32"/>
        <v>0.27329999999999999</v>
      </c>
      <c r="AH34" s="132">
        <f t="shared" si="11"/>
        <v>121142785</v>
      </c>
      <c r="AI34" s="131">
        <f t="shared" si="12"/>
        <v>3610</v>
      </c>
      <c r="AJ34" s="132">
        <f>'3A_Level 3'!J34</f>
        <v>7747298</v>
      </c>
      <c r="AK34" s="131">
        <f t="shared" si="13"/>
        <v>230.84228717857036</v>
      </c>
      <c r="AL34" s="132">
        <f t="shared" si="33"/>
        <v>128890083</v>
      </c>
      <c r="AM34" s="131">
        <f t="shared" si="14"/>
        <v>3840.47206579065</v>
      </c>
      <c r="AN34" s="134">
        <f>'3A_Level 3'!K34</f>
        <v>31052056</v>
      </c>
      <c r="AO34" s="135">
        <f t="shared" si="15"/>
        <v>925.24227525997435</v>
      </c>
      <c r="AP34" s="132">
        <f t="shared" si="34"/>
        <v>152194841</v>
      </c>
      <c r="AQ34" s="131">
        <f t="shared" si="16"/>
        <v>4534.8720538720536</v>
      </c>
      <c r="AR34" s="133">
        <f t="shared" si="35"/>
        <v>0.52487944428932864</v>
      </c>
      <c r="AS34" s="136">
        <f t="shared" si="36"/>
        <v>53</v>
      </c>
      <c r="AT34" s="131">
        <f t="shared" si="17"/>
        <v>137766678.08000001</v>
      </c>
      <c r="AU34" s="131">
        <f t="shared" si="18"/>
        <v>4104.96</v>
      </c>
      <c r="AV34" s="136">
        <f t="shared" si="37"/>
        <v>23</v>
      </c>
      <c r="AW34" s="133">
        <f t="shared" si="38"/>
        <v>0.47512055571067119</v>
      </c>
      <c r="AX34" s="135">
        <f t="shared" si="39"/>
        <v>289961519.08000004</v>
      </c>
      <c r="AY34" s="135">
        <f t="shared" si="19"/>
        <v>8639.8354959625776</v>
      </c>
      <c r="AZ34" s="136">
        <f t="shared" si="40"/>
        <v>64</v>
      </c>
    </row>
    <row r="35" spans="1:52" ht="15.6" customHeight="1" x14ac:dyDescent="0.2">
      <c r="A35" s="121">
        <v>29</v>
      </c>
      <c r="B35" s="122" t="s">
        <v>159</v>
      </c>
      <c r="C35" s="137">
        <f>'8_2.1.21 SIS'!AV35</f>
        <v>14029</v>
      </c>
      <c r="D35" s="123">
        <v>9247</v>
      </c>
      <c r="E35" s="123">
        <f t="shared" si="20"/>
        <v>2034.34</v>
      </c>
      <c r="F35" s="124">
        <v>8360.5</v>
      </c>
      <c r="G35" s="123">
        <f t="shared" si="21"/>
        <v>501.63</v>
      </c>
      <c r="H35" s="123">
        <v>1373</v>
      </c>
      <c r="I35" s="123">
        <f t="shared" si="22"/>
        <v>2059.5</v>
      </c>
      <c r="J35" s="123">
        <v>274</v>
      </c>
      <c r="K35" s="123">
        <f t="shared" si="23"/>
        <v>164.4</v>
      </c>
      <c r="L35" s="123">
        <f t="shared" si="1"/>
        <v>0</v>
      </c>
      <c r="M35" s="126">
        <f t="shared" si="2"/>
        <v>0</v>
      </c>
      <c r="N35" s="123">
        <f t="shared" si="3"/>
        <v>0</v>
      </c>
      <c r="O35" s="123">
        <f t="shared" si="24"/>
        <v>4759.869999999999</v>
      </c>
      <c r="P35" s="123">
        <f t="shared" si="4"/>
        <v>18788.87</v>
      </c>
      <c r="Q35" s="127">
        <f t="shared" si="25"/>
        <v>4015</v>
      </c>
      <c r="R35" s="127">
        <f t="shared" si="5"/>
        <v>75437313</v>
      </c>
      <c r="S35" s="127">
        <f>'6_Local Deduct Calc'!J35</f>
        <v>25342134</v>
      </c>
      <c r="T35" s="127">
        <f t="shared" si="26"/>
        <v>25342134</v>
      </c>
      <c r="U35" s="128">
        <f t="shared" si="27"/>
        <v>50095179</v>
      </c>
      <c r="V35" s="129">
        <f t="shared" si="41"/>
        <v>0.66410000000000002</v>
      </c>
      <c r="W35" s="129">
        <f t="shared" si="28"/>
        <v>0.33589999999999998</v>
      </c>
      <c r="X35" s="130">
        <f t="shared" si="6"/>
        <v>1806.4105780882458</v>
      </c>
      <c r="Y35" s="127">
        <f>'7_Local Revenue'!AS35</f>
        <v>72786271</v>
      </c>
      <c r="Z35" s="127">
        <f t="shared" si="29"/>
        <v>47444137</v>
      </c>
      <c r="AA35" s="131">
        <f t="shared" si="30"/>
        <v>0</v>
      </c>
      <c r="AB35" s="131">
        <f t="shared" si="7"/>
        <v>25648686.420000002</v>
      </c>
      <c r="AC35" s="131">
        <f t="shared" si="8"/>
        <v>25648686.420000002</v>
      </c>
      <c r="AD35" s="127">
        <f t="shared" si="9"/>
        <v>14818477.28178216</v>
      </c>
      <c r="AE35" s="132">
        <f t="shared" si="31"/>
        <v>10830209</v>
      </c>
      <c r="AF35" s="131">
        <f t="shared" si="10"/>
        <v>772</v>
      </c>
      <c r="AG35" s="133">
        <f t="shared" si="32"/>
        <v>0.42230000000000001</v>
      </c>
      <c r="AH35" s="132">
        <f t="shared" si="11"/>
        <v>60925388</v>
      </c>
      <c r="AI35" s="131">
        <f t="shared" si="12"/>
        <v>4343</v>
      </c>
      <c r="AJ35" s="132">
        <f>'3A_Level 3'!J35</f>
        <v>2403971</v>
      </c>
      <c r="AK35" s="131">
        <f t="shared" si="13"/>
        <v>171.3572599615083</v>
      </c>
      <c r="AL35" s="132">
        <f t="shared" si="33"/>
        <v>63329359</v>
      </c>
      <c r="AM35" s="131">
        <f t="shared" si="14"/>
        <v>4514.1748520920946</v>
      </c>
      <c r="AN35" s="134">
        <f>'3A_Level 3'!K35</f>
        <v>12995165</v>
      </c>
      <c r="AO35" s="135">
        <f t="shared" si="15"/>
        <v>926.30729203792146</v>
      </c>
      <c r="AP35" s="132">
        <f t="shared" si="34"/>
        <v>73920553</v>
      </c>
      <c r="AQ35" s="131">
        <f t="shared" si="16"/>
        <v>5269.1248841685083</v>
      </c>
      <c r="AR35" s="133">
        <f t="shared" si="35"/>
        <v>0.59178400634064532</v>
      </c>
      <c r="AS35" s="136">
        <f t="shared" si="36"/>
        <v>44</v>
      </c>
      <c r="AT35" s="131">
        <f t="shared" si="17"/>
        <v>50990820.420000002</v>
      </c>
      <c r="AU35" s="131">
        <f t="shared" si="18"/>
        <v>3634.67</v>
      </c>
      <c r="AV35" s="136">
        <f t="shared" si="37"/>
        <v>35</v>
      </c>
      <c r="AW35" s="133">
        <f t="shared" si="38"/>
        <v>0.40821599365935463</v>
      </c>
      <c r="AX35" s="135">
        <f t="shared" si="39"/>
        <v>124911373.42</v>
      </c>
      <c r="AY35" s="135">
        <f t="shared" si="19"/>
        <v>8903.7973782878325</v>
      </c>
      <c r="AZ35" s="136">
        <f t="shared" si="40"/>
        <v>62</v>
      </c>
    </row>
    <row r="36" spans="1:52" ht="15.6" customHeight="1" x14ac:dyDescent="0.2">
      <c r="A36" s="138">
        <v>30</v>
      </c>
      <c r="B36" s="139" t="s">
        <v>160</v>
      </c>
      <c r="C36" s="140">
        <f>'8_2.1.21 SIS'!AV36</f>
        <v>2438</v>
      </c>
      <c r="D36" s="141">
        <v>1622</v>
      </c>
      <c r="E36" s="141">
        <f t="shared" si="20"/>
        <v>356.84</v>
      </c>
      <c r="F36" s="142">
        <v>896</v>
      </c>
      <c r="G36" s="141">
        <f t="shared" si="21"/>
        <v>53.76</v>
      </c>
      <c r="H36" s="141">
        <v>278</v>
      </c>
      <c r="I36" s="141">
        <f t="shared" si="22"/>
        <v>417</v>
      </c>
      <c r="J36" s="141">
        <v>39</v>
      </c>
      <c r="K36" s="141">
        <f t="shared" si="23"/>
        <v>23.4</v>
      </c>
      <c r="L36" s="141">
        <f t="shared" si="1"/>
        <v>5062</v>
      </c>
      <c r="M36" s="143">
        <f t="shared" si="2"/>
        <v>0.13499</v>
      </c>
      <c r="N36" s="141">
        <f t="shared" si="3"/>
        <v>329.10561999999999</v>
      </c>
      <c r="O36" s="141">
        <f t="shared" si="24"/>
        <v>1180.1056199999998</v>
      </c>
      <c r="P36" s="144">
        <f t="shared" si="4"/>
        <v>3618.1056199999998</v>
      </c>
      <c r="Q36" s="145">
        <f t="shared" si="25"/>
        <v>4015</v>
      </c>
      <c r="R36" s="145">
        <f t="shared" si="5"/>
        <v>14526694</v>
      </c>
      <c r="S36" s="145">
        <f>'6_Local Deduct Calc'!J36</f>
        <v>3137625</v>
      </c>
      <c r="T36" s="145">
        <f t="shared" si="26"/>
        <v>3137625</v>
      </c>
      <c r="U36" s="146">
        <f t="shared" si="27"/>
        <v>11389069</v>
      </c>
      <c r="V36" s="147">
        <f t="shared" si="41"/>
        <v>0.78400000000000003</v>
      </c>
      <c r="W36" s="148">
        <f t="shared" si="28"/>
        <v>0.216</v>
      </c>
      <c r="X36" s="149">
        <f t="shared" si="6"/>
        <v>1286.9667760459392</v>
      </c>
      <c r="Y36" s="145">
        <f>'7_Local Revenue'!AS36</f>
        <v>11686297</v>
      </c>
      <c r="Z36" s="145">
        <f t="shared" si="29"/>
        <v>8548672</v>
      </c>
      <c r="AA36" s="150">
        <f t="shared" si="30"/>
        <v>0</v>
      </c>
      <c r="AB36" s="150">
        <f t="shared" si="7"/>
        <v>4939075.96</v>
      </c>
      <c r="AC36" s="150">
        <f t="shared" si="8"/>
        <v>4939075.96</v>
      </c>
      <c r="AD36" s="145">
        <f t="shared" si="9"/>
        <v>1834965.5006592001</v>
      </c>
      <c r="AE36" s="151">
        <f t="shared" si="31"/>
        <v>3104110</v>
      </c>
      <c r="AF36" s="150">
        <f t="shared" si="10"/>
        <v>1273</v>
      </c>
      <c r="AG36" s="152">
        <f t="shared" si="32"/>
        <v>0.62849999999999995</v>
      </c>
      <c r="AH36" s="151">
        <f t="shared" si="11"/>
        <v>14493179</v>
      </c>
      <c r="AI36" s="150">
        <f t="shared" si="12"/>
        <v>5945</v>
      </c>
      <c r="AJ36" s="151">
        <f>'3A_Level 3'!J36</f>
        <v>417769</v>
      </c>
      <c r="AK36" s="150">
        <f t="shared" si="13"/>
        <v>171.35726004922068</v>
      </c>
      <c r="AL36" s="151">
        <f t="shared" si="33"/>
        <v>14910948</v>
      </c>
      <c r="AM36" s="150">
        <f t="shared" si="14"/>
        <v>6116.0574241181293</v>
      </c>
      <c r="AN36" s="153">
        <f>'3A_Level 3'!K36</f>
        <v>2190609</v>
      </c>
      <c r="AO36" s="154">
        <f t="shared" si="15"/>
        <v>898.52707136997537</v>
      </c>
      <c r="AP36" s="151">
        <f t="shared" si="34"/>
        <v>16683788</v>
      </c>
      <c r="AQ36" s="150">
        <f t="shared" si="16"/>
        <v>6843.2272354388842</v>
      </c>
      <c r="AR36" s="152">
        <f t="shared" si="35"/>
        <v>0.67380688753571361</v>
      </c>
      <c r="AS36" s="155">
        <f t="shared" si="36"/>
        <v>20</v>
      </c>
      <c r="AT36" s="150">
        <f t="shared" si="17"/>
        <v>8076700.96</v>
      </c>
      <c r="AU36" s="150">
        <f t="shared" si="18"/>
        <v>3312.84</v>
      </c>
      <c r="AV36" s="155">
        <f t="shared" si="37"/>
        <v>51</v>
      </c>
      <c r="AW36" s="152">
        <f t="shared" si="38"/>
        <v>0.32619311246428634</v>
      </c>
      <c r="AX36" s="154">
        <f t="shared" si="39"/>
        <v>24760488.960000001</v>
      </c>
      <c r="AY36" s="154">
        <f t="shared" si="19"/>
        <v>10156.066021328959</v>
      </c>
      <c r="AZ36" s="155">
        <f t="shared" si="40"/>
        <v>17</v>
      </c>
    </row>
    <row r="37" spans="1:52" ht="15.6" customHeight="1" x14ac:dyDescent="0.2">
      <c r="A37" s="121">
        <v>31</v>
      </c>
      <c r="B37" s="122" t="s">
        <v>161</v>
      </c>
      <c r="C37" s="123">
        <f>'8_2.1.21 SIS'!AV37</f>
        <v>6090</v>
      </c>
      <c r="D37" s="123">
        <v>4043</v>
      </c>
      <c r="E37" s="123">
        <f t="shared" si="20"/>
        <v>889.46</v>
      </c>
      <c r="F37" s="124">
        <v>2518</v>
      </c>
      <c r="G37" s="123">
        <f t="shared" si="21"/>
        <v>151.07999999999998</v>
      </c>
      <c r="H37" s="123">
        <v>1104</v>
      </c>
      <c r="I37" s="123">
        <f t="shared" si="22"/>
        <v>1656</v>
      </c>
      <c r="J37" s="123">
        <v>247</v>
      </c>
      <c r="K37" s="123">
        <f t="shared" si="23"/>
        <v>148.19999999999999</v>
      </c>
      <c r="L37" s="125">
        <f t="shared" si="1"/>
        <v>1410</v>
      </c>
      <c r="M37" s="126">
        <f t="shared" si="2"/>
        <v>3.7600000000000001E-2</v>
      </c>
      <c r="N37" s="123">
        <f t="shared" si="3"/>
        <v>228.98400000000001</v>
      </c>
      <c r="O37" s="123">
        <f t="shared" si="24"/>
        <v>3073.7239999999997</v>
      </c>
      <c r="P37" s="123">
        <f t="shared" si="4"/>
        <v>9163.7240000000002</v>
      </c>
      <c r="Q37" s="127">
        <f t="shared" si="25"/>
        <v>4015</v>
      </c>
      <c r="R37" s="127">
        <f t="shared" si="5"/>
        <v>36792352</v>
      </c>
      <c r="S37" s="127">
        <f>'6_Local Deduct Calc'!J37</f>
        <v>13341458</v>
      </c>
      <c r="T37" s="127">
        <f t="shared" si="26"/>
        <v>13341458</v>
      </c>
      <c r="U37" s="128">
        <f t="shared" si="27"/>
        <v>23450894</v>
      </c>
      <c r="V37" s="129">
        <f t="shared" si="41"/>
        <v>0.63739999999999997</v>
      </c>
      <c r="W37" s="129">
        <f t="shared" si="28"/>
        <v>0.36259999999999998</v>
      </c>
      <c r="X37" s="130">
        <f t="shared" si="6"/>
        <v>2190.7155993431857</v>
      </c>
      <c r="Y37" s="127">
        <f>'7_Local Revenue'!AS37</f>
        <v>38594355</v>
      </c>
      <c r="Z37" s="127">
        <f t="shared" si="29"/>
        <v>25252897</v>
      </c>
      <c r="AA37" s="131">
        <f t="shared" si="30"/>
        <v>0</v>
      </c>
      <c r="AB37" s="131">
        <f t="shared" si="7"/>
        <v>12509399.680000002</v>
      </c>
      <c r="AC37" s="131">
        <f t="shared" si="8"/>
        <v>12509399.680000002</v>
      </c>
      <c r="AD37" s="127">
        <f t="shared" si="9"/>
        <v>7801762.3172249608</v>
      </c>
      <c r="AE37" s="132">
        <f t="shared" si="31"/>
        <v>4707637</v>
      </c>
      <c r="AF37" s="131">
        <f t="shared" si="10"/>
        <v>773</v>
      </c>
      <c r="AG37" s="133">
        <f t="shared" si="32"/>
        <v>0.37630000000000002</v>
      </c>
      <c r="AH37" s="132">
        <f t="shared" si="11"/>
        <v>28158531</v>
      </c>
      <c r="AI37" s="131">
        <f t="shared" si="12"/>
        <v>4624</v>
      </c>
      <c r="AJ37" s="132">
        <f>'3A_Level 3'!J37</f>
        <v>1043566</v>
      </c>
      <c r="AK37" s="131">
        <f t="shared" si="13"/>
        <v>171.35730706075535</v>
      </c>
      <c r="AL37" s="132">
        <f t="shared" si="33"/>
        <v>29202097</v>
      </c>
      <c r="AM37" s="131">
        <f t="shared" si="14"/>
        <v>4795.0898193760258</v>
      </c>
      <c r="AN37" s="134">
        <f>'3A_Level 3'!K37</f>
        <v>4824421</v>
      </c>
      <c r="AO37" s="135">
        <f t="shared" si="15"/>
        <v>792.18735632183905</v>
      </c>
      <c r="AP37" s="132">
        <f t="shared" si="34"/>
        <v>32982952</v>
      </c>
      <c r="AQ37" s="131">
        <f t="shared" si="16"/>
        <v>5415.9198686371101</v>
      </c>
      <c r="AR37" s="133">
        <f t="shared" si="35"/>
        <v>0.56061220885398899</v>
      </c>
      <c r="AS37" s="136">
        <f t="shared" si="36"/>
        <v>50</v>
      </c>
      <c r="AT37" s="131">
        <f t="shared" si="17"/>
        <v>25850857.68</v>
      </c>
      <c r="AU37" s="131">
        <f t="shared" si="18"/>
        <v>4244.8</v>
      </c>
      <c r="AV37" s="136">
        <f t="shared" si="37"/>
        <v>21</v>
      </c>
      <c r="AW37" s="133">
        <f t="shared" si="38"/>
        <v>0.43938779114601101</v>
      </c>
      <c r="AX37" s="135">
        <f t="shared" si="39"/>
        <v>58833809.68</v>
      </c>
      <c r="AY37" s="135">
        <f t="shared" si="19"/>
        <v>9660.7240853858784</v>
      </c>
      <c r="AZ37" s="136">
        <f t="shared" si="40"/>
        <v>32</v>
      </c>
    </row>
    <row r="38" spans="1:52" ht="15.6" customHeight="1" x14ac:dyDescent="0.2">
      <c r="A38" s="121">
        <v>32</v>
      </c>
      <c r="B38" s="122" t="s">
        <v>162</v>
      </c>
      <c r="C38" s="137">
        <f>'8_2.1.21 SIS'!AV38</f>
        <v>25775</v>
      </c>
      <c r="D38" s="123">
        <v>14754</v>
      </c>
      <c r="E38" s="123">
        <f t="shared" si="20"/>
        <v>3245.88</v>
      </c>
      <c r="F38" s="124">
        <v>13964.5</v>
      </c>
      <c r="G38" s="123">
        <f t="shared" si="21"/>
        <v>837.87</v>
      </c>
      <c r="H38" s="123">
        <v>3501</v>
      </c>
      <c r="I38" s="123">
        <f t="shared" si="22"/>
        <v>5251.5</v>
      </c>
      <c r="J38" s="123">
        <v>919</v>
      </c>
      <c r="K38" s="123">
        <f t="shared" si="23"/>
        <v>551.4</v>
      </c>
      <c r="L38" s="123">
        <f t="shared" si="1"/>
        <v>0</v>
      </c>
      <c r="M38" s="126">
        <f t="shared" si="2"/>
        <v>0</v>
      </c>
      <c r="N38" s="123">
        <f t="shared" si="3"/>
        <v>0</v>
      </c>
      <c r="O38" s="123">
        <f t="shared" si="24"/>
        <v>9886.65</v>
      </c>
      <c r="P38" s="123">
        <f t="shared" si="4"/>
        <v>35661.65</v>
      </c>
      <c r="Q38" s="127">
        <f t="shared" si="25"/>
        <v>4015</v>
      </c>
      <c r="R38" s="127">
        <f t="shared" si="5"/>
        <v>143181525</v>
      </c>
      <c r="S38" s="127">
        <f>'6_Local Deduct Calc'!J38</f>
        <v>24634913</v>
      </c>
      <c r="T38" s="127">
        <f t="shared" si="26"/>
        <v>24634913</v>
      </c>
      <c r="U38" s="128">
        <f t="shared" si="27"/>
        <v>118546612</v>
      </c>
      <c r="V38" s="129">
        <f t="shared" si="41"/>
        <v>0.82789999999999997</v>
      </c>
      <c r="W38" s="129">
        <f t="shared" si="28"/>
        <v>0.1721</v>
      </c>
      <c r="X38" s="130">
        <f t="shared" si="6"/>
        <v>955.76772065955379</v>
      </c>
      <c r="Y38" s="127">
        <f>'7_Local Revenue'!AS38</f>
        <v>74974471</v>
      </c>
      <c r="Z38" s="156">
        <f>IF(Y38-T38&gt;0,Y38-T38,0)-Z78</f>
        <v>48566650</v>
      </c>
      <c r="AA38" s="131">
        <f t="shared" si="30"/>
        <v>0</v>
      </c>
      <c r="AB38" s="131">
        <f t="shared" si="7"/>
        <v>48681718.5</v>
      </c>
      <c r="AC38" s="131">
        <f t="shared" si="8"/>
        <v>48566650</v>
      </c>
      <c r="AD38" s="127">
        <f t="shared" si="9"/>
        <v>14376311.1998</v>
      </c>
      <c r="AE38" s="132">
        <f t="shared" si="31"/>
        <v>34190339</v>
      </c>
      <c r="AF38" s="131">
        <f t="shared" si="10"/>
        <v>1326</v>
      </c>
      <c r="AG38" s="133">
        <f t="shared" si="32"/>
        <v>0.70399999999999996</v>
      </c>
      <c r="AH38" s="132">
        <f t="shared" si="11"/>
        <v>152736951</v>
      </c>
      <c r="AI38" s="131">
        <f t="shared" si="12"/>
        <v>5926</v>
      </c>
      <c r="AJ38" s="132">
        <f>'3A_Level 3'!J38</f>
        <v>4416734</v>
      </c>
      <c r="AK38" s="131">
        <f t="shared" si="13"/>
        <v>171.3572841901067</v>
      </c>
      <c r="AL38" s="132">
        <f t="shared" si="33"/>
        <v>157153685</v>
      </c>
      <c r="AM38" s="131">
        <f t="shared" si="14"/>
        <v>6097.1361784675073</v>
      </c>
      <c r="AN38" s="134">
        <f>'3A_Level 3'!K38</f>
        <v>18844806</v>
      </c>
      <c r="AO38" s="135">
        <f t="shared" si="15"/>
        <v>731.12729388942773</v>
      </c>
      <c r="AP38" s="132">
        <f t="shared" si="34"/>
        <v>171581757</v>
      </c>
      <c r="AQ38" s="131">
        <f t="shared" si="16"/>
        <v>6656.9061881668285</v>
      </c>
      <c r="AR38" s="133">
        <f t="shared" si="35"/>
        <v>0.70095363115427967</v>
      </c>
      <c r="AS38" s="136">
        <f t="shared" si="36"/>
        <v>12</v>
      </c>
      <c r="AT38" s="131">
        <f t="shared" si="17"/>
        <v>73201563</v>
      </c>
      <c r="AU38" s="131">
        <f t="shared" si="18"/>
        <v>2840.02</v>
      </c>
      <c r="AV38" s="136">
        <f t="shared" si="37"/>
        <v>61</v>
      </c>
      <c r="AW38" s="133">
        <f t="shared" si="38"/>
        <v>0.29904636884572039</v>
      </c>
      <c r="AX38" s="135">
        <f t="shared" si="39"/>
        <v>244783320</v>
      </c>
      <c r="AY38" s="135">
        <f t="shared" si="19"/>
        <v>9496.9280310378272</v>
      </c>
      <c r="AZ38" s="136">
        <f t="shared" si="40"/>
        <v>45</v>
      </c>
    </row>
    <row r="39" spans="1:52" ht="15.6" customHeight="1" x14ac:dyDescent="0.2">
      <c r="A39" s="121">
        <v>33</v>
      </c>
      <c r="B39" s="122" t="s">
        <v>163</v>
      </c>
      <c r="C39" s="137">
        <f>'8_2.1.21 SIS'!AV39</f>
        <v>1341</v>
      </c>
      <c r="D39" s="123">
        <v>1333</v>
      </c>
      <c r="E39" s="123">
        <f t="shared" si="20"/>
        <v>293.26</v>
      </c>
      <c r="F39" s="124">
        <v>970</v>
      </c>
      <c r="G39" s="123">
        <f t="shared" si="21"/>
        <v>58.199999999999996</v>
      </c>
      <c r="H39" s="123">
        <v>205</v>
      </c>
      <c r="I39" s="123">
        <f t="shared" si="22"/>
        <v>307.5</v>
      </c>
      <c r="J39" s="123">
        <v>11</v>
      </c>
      <c r="K39" s="123">
        <f t="shared" si="23"/>
        <v>6.6</v>
      </c>
      <c r="L39" s="123">
        <f t="shared" si="1"/>
        <v>6159</v>
      </c>
      <c r="M39" s="126">
        <f t="shared" si="2"/>
        <v>0.16424</v>
      </c>
      <c r="N39" s="123">
        <f t="shared" si="3"/>
        <v>220.24583999999999</v>
      </c>
      <c r="O39" s="123">
        <f t="shared" si="24"/>
        <v>885.80583999999999</v>
      </c>
      <c r="P39" s="123">
        <f t="shared" si="4"/>
        <v>2226.80584</v>
      </c>
      <c r="Q39" s="127">
        <f t="shared" si="25"/>
        <v>4015</v>
      </c>
      <c r="R39" s="127">
        <f t="shared" si="5"/>
        <v>8940625</v>
      </c>
      <c r="S39" s="127">
        <f>'6_Local Deduct Calc'!J39</f>
        <v>2673303</v>
      </c>
      <c r="T39" s="127">
        <f t="shared" si="26"/>
        <v>2673303</v>
      </c>
      <c r="U39" s="128">
        <f t="shared" si="27"/>
        <v>6267322</v>
      </c>
      <c r="V39" s="129">
        <f t="shared" si="41"/>
        <v>0.70099999999999996</v>
      </c>
      <c r="W39" s="129">
        <f t="shared" si="28"/>
        <v>0.29899999999999999</v>
      </c>
      <c r="X39" s="130">
        <f t="shared" si="6"/>
        <v>1993.5145413870246</v>
      </c>
      <c r="Y39" s="127">
        <f>'7_Local Revenue'!AS39</f>
        <v>6201762</v>
      </c>
      <c r="Z39" s="127">
        <f t="shared" si="29"/>
        <v>3528459</v>
      </c>
      <c r="AA39" s="131">
        <f t="shared" si="30"/>
        <v>0</v>
      </c>
      <c r="AB39" s="131">
        <f t="shared" si="7"/>
        <v>3039812.5</v>
      </c>
      <c r="AC39" s="131">
        <f t="shared" si="8"/>
        <v>3039812.5</v>
      </c>
      <c r="AD39" s="127">
        <f t="shared" si="9"/>
        <v>1563314.7725</v>
      </c>
      <c r="AE39" s="132">
        <f t="shared" si="31"/>
        <v>1476498</v>
      </c>
      <c r="AF39" s="131">
        <f t="shared" si="10"/>
        <v>1101</v>
      </c>
      <c r="AG39" s="133">
        <f t="shared" si="32"/>
        <v>0.48570000000000002</v>
      </c>
      <c r="AH39" s="132">
        <f t="shared" si="11"/>
        <v>7743820</v>
      </c>
      <c r="AI39" s="131">
        <f t="shared" si="12"/>
        <v>5775</v>
      </c>
      <c r="AJ39" s="132">
        <f>'3A_Level 3'!J39</f>
        <v>229790</v>
      </c>
      <c r="AK39" s="131">
        <f t="shared" si="13"/>
        <v>171.35719612229678</v>
      </c>
      <c r="AL39" s="132">
        <f t="shared" si="33"/>
        <v>7973610</v>
      </c>
      <c r="AM39" s="131">
        <f t="shared" si="14"/>
        <v>5946.0178970917223</v>
      </c>
      <c r="AN39" s="134">
        <f>'3A_Level 3'!K39</f>
        <v>1108561</v>
      </c>
      <c r="AO39" s="135">
        <f t="shared" si="15"/>
        <v>826.66741237882172</v>
      </c>
      <c r="AP39" s="132">
        <f t="shared" si="34"/>
        <v>8852381</v>
      </c>
      <c r="AQ39" s="131">
        <f t="shared" si="16"/>
        <v>6601.3281133482478</v>
      </c>
      <c r="AR39" s="133">
        <f t="shared" si="35"/>
        <v>0.60776376555375233</v>
      </c>
      <c r="AS39" s="136">
        <f t="shared" si="36"/>
        <v>39</v>
      </c>
      <c r="AT39" s="131">
        <f t="shared" si="17"/>
        <v>5713115.5</v>
      </c>
      <c r="AU39" s="131">
        <f t="shared" si="18"/>
        <v>4260.34</v>
      </c>
      <c r="AV39" s="136">
        <f t="shared" si="37"/>
        <v>20</v>
      </c>
      <c r="AW39" s="133">
        <f t="shared" si="38"/>
        <v>0.39223623444624767</v>
      </c>
      <c r="AX39" s="135">
        <f t="shared" si="39"/>
        <v>14565496.5</v>
      </c>
      <c r="AY39" s="135">
        <f t="shared" si="19"/>
        <v>10861.667785234898</v>
      </c>
      <c r="AZ39" s="136">
        <f t="shared" si="40"/>
        <v>6</v>
      </c>
    </row>
    <row r="40" spans="1:52" ht="15.6" customHeight="1" x14ac:dyDescent="0.2">
      <c r="A40" s="121">
        <v>34</v>
      </c>
      <c r="B40" s="122" t="s">
        <v>164</v>
      </c>
      <c r="C40" s="137">
        <f>'8_2.1.21 SIS'!AV40</f>
        <v>3342</v>
      </c>
      <c r="D40" s="123">
        <v>2890</v>
      </c>
      <c r="E40" s="123">
        <f t="shared" si="20"/>
        <v>635.79999999999995</v>
      </c>
      <c r="F40" s="124">
        <v>2417</v>
      </c>
      <c r="G40" s="123">
        <f t="shared" si="21"/>
        <v>145.01999999999998</v>
      </c>
      <c r="H40" s="123">
        <v>556</v>
      </c>
      <c r="I40" s="123">
        <f t="shared" si="22"/>
        <v>834</v>
      </c>
      <c r="J40" s="123">
        <v>20</v>
      </c>
      <c r="K40" s="123">
        <f t="shared" si="23"/>
        <v>12</v>
      </c>
      <c r="L40" s="123">
        <f t="shared" si="1"/>
        <v>4158</v>
      </c>
      <c r="M40" s="126">
        <f t="shared" si="2"/>
        <v>0.11088000000000001</v>
      </c>
      <c r="N40" s="123">
        <f t="shared" si="3"/>
        <v>370.56096000000002</v>
      </c>
      <c r="O40" s="123">
        <f t="shared" si="24"/>
        <v>1997.38096</v>
      </c>
      <c r="P40" s="123">
        <f t="shared" si="4"/>
        <v>5339.3809600000004</v>
      </c>
      <c r="Q40" s="127">
        <f t="shared" si="25"/>
        <v>4015</v>
      </c>
      <c r="R40" s="127">
        <f t="shared" si="5"/>
        <v>21437615</v>
      </c>
      <c r="S40" s="127">
        <f>'6_Local Deduct Calc'!J40</f>
        <v>4743249</v>
      </c>
      <c r="T40" s="127">
        <f t="shared" si="26"/>
        <v>4743249</v>
      </c>
      <c r="U40" s="128">
        <f t="shared" si="27"/>
        <v>16694366</v>
      </c>
      <c r="V40" s="129">
        <f t="shared" si="41"/>
        <v>0.77869999999999995</v>
      </c>
      <c r="W40" s="129">
        <f t="shared" si="28"/>
        <v>0.2213</v>
      </c>
      <c r="X40" s="130">
        <f t="shared" si="6"/>
        <v>1419.2845601436265</v>
      </c>
      <c r="Y40" s="127">
        <f>'7_Local Revenue'!AS40</f>
        <v>12783333</v>
      </c>
      <c r="Z40" s="127">
        <f t="shared" si="29"/>
        <v>8040084</v>
      </c>
      <c r="AA40" s="131">
        <f t="shared" si="30"/>
        <v>0</v>
      </c>
      <c r="AB40" s="131">
        <f t="shared" si="7"/>
        <v>7288789.1000000006</v>
      </c>
      <c r="AC40" s="131">
        <f t="shared" si="8"/>
        <v>7288789.1000000006</v>
      </c>
      <c r="AD40" s="127">
        <f t="shared" si="9"/>
        <v>2774375.5278675999</v>
      </c>
      <c r="AE40" s="132">
        <f t="shared" si="31"/>
        <v>4514414</v>
      </c>
      <c r="AF40" s="131">
        <f t="shared" si="10"/>
        <v>1351</v>
      </c>
      <c r="AG40" s="133">
        <f t="shared" si="32"/>
        <v>0.61939999999999995</v>
      </c>
      <c r="AH40" s="132">
        <f t="shared" si="11"/>
        <v>21208780</v>
      </c>
      <c r="AI40" s="131">
        <f t="shared" si="12"/>
        <v>6346</v>
      </c>
      <c r="AJ40" s="132">
        <f>'3A_Level 3'!J40</f>
        <v>572676</v>
      </c>
      <c r="AK40" s="131">
        <f t="shared" si="13"/>
        <v>171.35727109515261</v>
      </c>
      <c r="AL40" s="132">
        <f t="shared" si="33"/>
        <v>21781456</v>
      </c>
      <c r="AM40" s="131">
        <f t="shared" si="14"/>
        <v>6517.4913225613409</v>
      </c>
      <c r="AN40" s="134">
        <f>'3A_Level 3'!K40</f>
        <v>2725292</v>
      </c>
      <c r="AO40" s="135">
        <f t="shared" si="15"/>
        <v>815.46738479952126</v>
      </c>
      <c r="AP40" s="132">
        <f t="shared" si="34"/>
        <v>23934072</v>
      </c>
      <c r="AQ40" s="131">
        <f t="shared" si="16"/>
        <v>7161.6014362657088</v>
      </c>
      <c r="AR40" s="133">
        <f t="shared" si="35"/>
        <v>0.6654617898197448</v>
      </c>
      <c r="AS40" s="136">
        <f t="shared" si="36"/>
        <v>24</v>
      </c>
      <c r="AT40" s="131">
        <f t="shared" si="17"/>
        <v>12032038.1</v>
      </c>
      <c r="AU40" s="131">
        <f t="shared" si="18"/>
        <v>3600.25</v>
      </c>
      <c r="AV40" s="136">
        <f t="shared" si="37"/>
        <v>37</v>
      </c>
      <c r="AW40" s="133">
        <f t="shared" si="38"/>
        <v>0.3345382101802552</v>
      </c>
      <c r="AX40" s="135">
        <f t="shared" si="39"/>
        <v>35966110.100000001</v>
      </c>
      <c r="AY40" s="135">
        <f t="shared" si="19"/>
        <v>10761.852214242968</v>
      </c>
      <c r="AZ40" s="136">
        <f t="shared" si="40"/>
        <v>8</v>
      </c>
    </row>
    <row r="41" spans="1:52" ht="15.6" customHeight="1" x14ac:dyDescent="0.2">
      <c r="A41" s="138">
        <v>35</v>
      </c>
      <c r="B41" s="139" t="s">
        <v>165</v>
      </c>
      <c r="C41" s="140">
        <f>'8_2.1.21 SIS'!AV41</f>
        <v>5410</v>
      </c>
      <c r="D41" s="141">
        <v>4216</v>
      </c>
      <c r="E41" s="141">
        <f t="shared" si="20"/>
        <v>927.52</v>
      </c>
      <c r="F41" s="142">
        <v>3076</v>
      </c>
      <c r="G41" s="141">
        <f t="shared" si="21"/>
        <v>184.56</v>
      </c>
      <c r="H41" s="141">
        <v>653</v>
      </c>
      <c r="I41" s="141">
        <f t="shared" si="22"/>
        <v>979.5</v>
      </c>
      <c r="J41" s="141">
        <v>219</v>
      </c>
      <c r="K41" s="141">
        <f t="shared" si="23"/>
        <v>131.4</v>
      </c>
      <c r="L41" s="141">
        <f t="shared" si="1"/>
        <v>2090</v>
      </c>
      <c r="M41" s="143">
        <f t="shared" si="2"/>
        <v>5.5730000000000002E-2</v>
      </c>
      <c r="N41" s="141">
        <f t="shared" si="3"/>
        <v>301.49930000000001</v>
      </c>
      <c r="O41" s="141">
        <f t="shared" si="24"/>
        <v>2524.4793</v>
      </c>
      <c r="P41" s="144">
        <f t="shared" si="4"/>
        <v>7934.4793</v>
      </c>
      <c r="Q41" s="145">
        <f t="shared" si="25"/>
        <v>4015</v>
      </c>
      <c r="R41" s="145">
        <f t="shared" si="5"/>
        <v>31856934</v>
      </c>
      <c r="S41" s="145">
        <f>'6_Local Deduct Calc'!J41</f>
        <v>10197085</v>
      </c>
      <c r="T41" s="145">
        <f t="shared" si="26"/>
        <v>10197085</v>
      </c>
      <c r="U41" s="146">
        <f t="shared" si="27"/>
        <v>21659849</v>
      </c>
      <c r="V41" s="147">
        <f t="shared" si="41"/>
        <v>0.67989999999999995</v>
      </c>
      <c r="W41" s="148">
        <f t="shared" si="28"/>
        <v>0.3201</v>
      </c>
      <c r="X41" s="149">
        <f t="shared" si="6"/>
        <v>1884.858595194085</v>
      </c>
      <c r="Y41" s="145">
        <f>'7_Local Revenue'!AS41</f>
        <v>27169887</v>
      </c>
      <c r="Z41" s="145">
        <f t="shared" si="29"/>
        <v>16972802</v>
      </c>
      <c r="AA41" s="150">
        <f t="shared" si="30"/>
        <v>0</v>
      </c>
      <c r="AB41" s="150">
        <f t="shared" si="7"/>
        <v>10831357.560000001</v>
      </c>
      <c r="AC41" s="150">
        <f t="shared" si="8"/>
        <v>10831357.560000001</v>
      </c>
      <c r="AD41" s="145">
        <f t="shared" si="9"/>
        <v>5963442.1945243198</v>
      </c>
      <c r="AE41" s="151">
        <f t="shared" si="31"/>
        <v>4867915</v>
      </c>
      <c r="AF41" s="150">
        <f t="shared" si="10"/>
        <v>900</v>
      </c>
      <c r="AG41" s="152">
        <f t="shared" si="32"/>
        <v>0.44940000000000002</v>
      </c>
      <c r="AH41" s="151">
        <f t="shared" si="11"/>
        <v>26527764</v>
      </c>
      <c r="AI41" s="150">
        <f t="shared" si="12"/>
        <v>4903</v>
      </c>
      <c r="AJ41" s="151">
        <f>'3A_Level 3'!J41</f>
        <v>927043</v>
      </c>
      <c r="AK41" s="150">
        <f t="shared" si="13"/>
        <v>171.35730129390018</v>
      </c>
      <c r="AL41" s="151">
        <f t="shared" si="33"/>
        <v>27454807</v>
      </c>
      <c r="AM41" s="150">
        <f t="shared" si="14"/>
        <v>5074.825693160813</v>
      </c>
      <c r="AN41" s="153">
        <f>'3A_Level 3'!K41</f>
        <v>3837407</v>
      </c>
      <c r="AO41" s="154">
        <f t="shared" si="15"/>
        <v>709.31737523105357</v>
      </c>
      <c r="AP41" s="151">
        <f t="shared" si="34"/>
        <v>30365171</v>
      </c>
      <c r="AQ41" s="150">
        <f t="shared" si="16"/>
        <v>5612.7857670979665</v>
      </c>
      <c r="AR41" s="152">
        <f t="shared" si="35"/>
        <v>0.59083549290710735</v>
      </c>
      <c r="AS41" s="155">
        <f t="shared" si="36"/>
        <v>47</v>
      </c>
      <c r="AT41" s="150">
        <f t="shared" si="17"/>
        <v>21028442.559999999</v>
      </c>
      <c r="AU41" s="150">
        <f t="shared" si="18"/>
        <v>3886.96</v>
      </c>
      <c r="AV41" s="155">
        <f t="shared" si="37"/>
        <v>28</v>
      </c>
      <c r="AW41" s="152">
        <f t="shared" si="38"/>
        <v>0.40916450709289254</v>
      </c>
      <c r="AX41" s="154">
        <f t="shared" si="39"/>
        <v>51393613.560000002</v>
      </c>
      <c r="AY41" s="154">
        <f t="shared" si="19"/>
        <v>9499.7437264325326</v>
      </c>
      <c r="AZ41" s="155">
        <f t="shared" si="40"/>
        <v>44</v>
      </c>
    </row>
    <row r="42" spans="1:52" ht="15.6" customHeight="1" x14ac:dyDescent="0.2">
      <c r="A42" s="121">
        <v>36</v>
      </c>
      <c r="B42" s="122" t="s">
        <v>166</v>
      </c>
      <c r="C42" s="123">
        <f>'8_2.1.21 SIS'!AV42</f>
        <v>45700</v>
      </c>
      <c r="D42" s="123">
        <v>38706</v>
      </c>
      <c r="E42" s="123">
        <f t="shared" si="20"/>
        <v>8515.32</v>
      </c>
      <c r="F42" s="124">
        <v>13175.5</v>
      </c>
      <c r="G42" s="123">
        <f t="shared" si="21"/>
        <v>790.53</v>
      </c>
      <c r="H42" s="123">
        <v>6924</v>
      </c>
      <c r="I42" s="123">
        <f t="shared" si="22"/>
        <v>10386</v>
      </c>
      <c r="J42" s="123">
        <v>2488</v>
      </c>
      <c r="K42" s="123">
        <f t="shared" si="23"/>
        <v>1492.8</v>
      </c>
      <c r="L42" s="125">
        <f t="shared" si="1"/>
        <v>0</v>
      </c>
      <c r="M42" s="126">
        <f t="shared" si="2"/>
        <v>0</v>
      </c>
      <c r="N42" s="123">
        <f t="shared" si="3"/>
        <v>0</v>
      </c>
      <c r="O42" s="123">
        <f t="shared" si="24"/>
        <v>21184.649999999998</v>
      </c>
      <c r="P42" s="123">
        <f t="shared" si="4"/>
        <v>66884.649999999994</v>
      </c>
      <c r="Q42" s="127">
        <f t="shared" si="25"/>
        <v>4015</v>
      </c>
      <c r="R42" s="127">
        <f t="shared" si="5"/>
        <v>268541870</v>
      </c>
      <c r="S42" s="127">
        <f>'6_Local Deduct Calc'!J42</f>
        <v>123692137</v>
      </c>
      <c r="T42" s="127">
        <f t="shared" si="26"/>
        <v>123692137</v>
      </c>
      <c r="U42" s="128">
        <f t="shared" si="27"/>
        <v>144849733</v>
      </c>
      <c r="V42" s="129">
        <f t="shared" si="41"/>
        <v>0.53939999999999999</v>
      </c>
      <c r="W42" s="129">
        <f t="shared" si="28"/>
        <v>0.46060000000000001</v>
      </c>
      <c r="X42" s="130">
        <f t="shared" si="6"/>
        <v>2706.6113129102846</v>
      </c>
      <c r="Y42" s="127">
        <f>'7_Local Revenue'!AS42</f>
        <v>320966429</v>
      </c>
      <c r="Z42" s="127">
        <f t="shared" si="29"/>
        <v>197274292</v>
      </c>
      <c r="AA42" s="131">
        <f t="shared" si="30"/>
        <v>0</v>
      </c>
      <c r="AB42" s="131">
        <f t="shared" si="7"/>
        <v>91304235.800000012</v>
      </c>
      <c r="AC42" s="131">
        <f t="shared" si="8"/>
        <v>91304235.800000012</v>
      </c>
      <c r="AD42" s="127">
        <f t="shared" si="9"/>
        <v>72334137.336305618</v>
      </c>
      <c r="AE42" s="132">
        <f t="shared" si="31"/>
        <v>18970098</v>
      </c>
      <c r="AF42" s="131">
        <f t="shared" si="10"/>
        <v>415</v>
      </c>
      <c r="AG42" s="133">
        <f t="shared" si="32"/>
        <v>0.20780000000000001</v>
      </c>
      <c r="AH42" s="132">
        <f t="shared" si="11"/>
        <v>163819831</v>
      </c>
      <c r="AI42" s="131">
        <f t="shared" si="12"/>
        <v>3585</v>
      </c>
      <c r="AJ42" s="132">
        <f>'3A_Level 3'!J42</f>
        <v>7831027</v>
      </c>
      <c r="AK42" s="131">
        <f t="shared" si="13"/>
        <v>171.3572647702407</v>
      </c>
      <c r="AL42" s="132">
        <f t="shared" si="33"/>
        <v>171650858</v>
      </c>
      <c r="AM42" s="131">
        <f t="shared" si="14"/>
        <v>3756.0362800875273</v>
      </c>
      <c r="AN42" s="134">
        <f>'3A_Level 3'!K42</f>
        <v>41329838</v>
      </c>
      <c r="AO42" s="135">
        <f t="shared" si="15"/>
        <v>904.37282275711163</v>
      </c>
      <c r="AP42" s="132">
        <f t="shared" si="34"/>
        <v>205149669</v>
      </c>
      <c r="AQ42" s="131">
        <f t="shared" si="16"/>
        <v>4489.0518380743979</v>
      </c>
      <c r="AR42" s="133">
        <f t="shared" si="35"/>
        <v>0.48828180820433947</v>
      </c>
      <c r="AS42" s="136">
        <f t="shared" si="36"/>
        <v>56</v>
      </c>
      <c r="AT42" s="131">
        <f t="shared" si="17"/>
        <v>214996372.80000001</v>
      </c>
      <c r="AU42" s="131">
        <f t="shared" si="18"/>
        <v>4704.5200000000004</v>
      </c>
      <c r="AV42" s="136">
        <f t="shared" si="37"/>
        <v>15</v>
      </c>
      <c r="AW42" s="133">
        <f t="shared" si="38"/>
        <v>0.51171819179566058</v>
      </c>
      <c r="AX42" s="135">
        <f t="shared" si="39"/>
        <v>420146041.80000001</v>
      </c>
      <c r="AY42" s="135">
        <f t="shared" si="19"/>
        <v>9193.5676542669589</v>
      </c>
      <c r="AZ42" s="136">
        <f t="shared" si="40"/>
        <v>57</v>
      </c>
    </row>
    <row r="43" spans="1:52" ht="15.6" customHeight="1" x14ac:dyDescent="0.2">
      <c r="A43" s="121">
        <v>37</v>
      </c>
      <c r="B43" s="122" t="s">
        <v>167</v>
      </c>
      <c r="C43" s="137">
        <f>'8_2.1.21 SIS'!AV43</f>
        <v>18130</v>
      </c>
      <c r="D43" s="123">
        <v>12178</v>
      </c>
      <c r="E43" s="123">
        <f t="shared" si="20"/>
        <v>2679.16</v>
      </c>
      <c r="F43" s="124">
        <v>7023</v>
      </c>
      <c r="G43" s="123">
        <f t="shared" si="21"/>
        <v>421.38</v>
      </c>
      <c r="H43" s="123">
        <v>2574</v>
      </c>
      <c r="I43" s="123">
        <f t="shared" si="22"/>
        <v>3861</v>
      </c>
      <c r="J43" s="123">
        <v>793</v>
      </c>
      <c r="K43" s="123">
        <f t="shared" si="23"/>
        <v>475.79999999999995</v>
      </c>
      <c r="L43" s="123">
        <f t="shared" si="1"/>
        <v>0</v>
      </c>
      <c r="M43" s="126">
        <f t="shared" si="2"/>
        <v>0</v>
      </c>
      <c r="N43" s="123">
        <f t="shared" si="3"/>
        <v>0</v>
      </c>
      <c r="O43" s="123">
        <f t="shared" si="24"/>
        <v>7437.34</v>
      </c>
      <c r="P43" s="123">
        <f t="shared" si="4"/>
        <v>25567.34</v>
      </c>
      <c r="Q43" s="127">
        <f t="shared" si="25"/>
        <v>4015</v>
      </c>
      <c r="R43" s="127">
        <f t="shared" si="5"/>
        <v>102652870</v>
      </c>
      <c r="S43" s="127">
        <f>'6_Local Deduct Calc'!J43</f>
        <v>22466031</v>
      </c>
      <c r="T43" s="127">
        <f t="shared" si="26"/>
        <v>22466031</v>
      </c>
      <c r="U43" s="128">
        <f t="shared" si="27"/>
        <v>80186839</v>
      </c>
      <c r="V43" s="129">
        <f t="shared" si="41"/>
        <v>0.78110000000000002</v>
      </c>
      <c r="W43" s="129">
        <f t="shared" si="28"/>
        <v>0.21890000000000001</v>
      </c>
      <c r="X43" s="130">
        <f t="shared" si="6"/>
        <v>1239.1633204633204</v>
      </c>
      <c r="Y43" s="127">
        <f>'7_Local Revenue'!AS43</f>
        <v>79767471</v>
      </c>
      <c r="Z43" s="127">
        <f t="shared" si="29"/>
        <v>57301440</v>
      </c>
      <c r="AA43" s="131">
        <f t="shared" si="30"/>
        <v>0</v>
      </c>
      <c r="AB43" s="131">
        <f t="shared" si="7"/>
        <v>34901975.800000004</v>
      </c>
      <c r="AC43" s="131">
        <f t="shared" si="8"/>
        <v>34901975.800000004</v>
      </c>
      <c r="AD43" s="127">
        <f t="shared" si="9"/>
        <v>13140873.104506401</v>
      </c>
      <c r="AE43" s="132">
        <f t="shared" si="31"/>
        <v>21761103</v>
      </c>
      <c r="AF43" s="131">
        <f t="shared" si="10"/>
        <v>1200</v>
      </c>
      <c r="AG43" s="133">
        <f t="shared" si="32"/>
        <v>0.62350000000000005</v>
      </c>
      <c r="AH43" s="132">
        <f t="shared" si="11"/>
        <v>101947942</v>
      </c>
      <c r="AI43" s="131">
        <f t="shared" si="12"/>
        <v>5623</v>
      </c>
      <c r="AJ43" s="132">
        <f>'3A_Level 3'!J43</f>
        <v>3106707</v>
      </c>
      <c r="AK43" s="131">
        <f t="shared" si="13"/>
        <v>171.35725317153887</v>
      </c>
      <c r="AL43" s="132">
        <f t="shared" si="33"/>
        <v>105054649</v>
      </c>
      <c r="AM43" s="131">
        <f t="shared" si="14"/>
        <v>5794.5200772200769</v>
      </c>
      <c r="AN43" s="134">
        <f>'3A_Level 3'!K43</f>
        <v>14956656</v>
      </c>
      <c r="AO43" s="135">
        <f t="shared" si="15"/>
        <v>824.96723662437944</v>
      </c>
      <c r="AP43" s="132">
        <f t="shared" si="34"/>
        <v>116904598</v>
      </c>
      <c r="AQ43" s="131">
        <f t="shared" si="16"/>
        <v>6448.1300606729183</v>
      </c>
      <c r="AR43" s="133">
        <f t="shared" si="35"/>
        <v>0.67081454445558386</v>
      </c>
      <c r="AS43" s="136">
        <f t="shared" si="36"/>
        <v>22</v>
      </c>
      <c r="AT43" s="131">
        <f t="shared" si="17"/>
        <v>57368006.799999997</v>
      </c>
      <c r="AU43" s="131">
        <f t="shared" si="18"/>
        <v>3164.26</v>
      </c>
      <c r="AV43" s="136">
        <f t="shared" si="37"/>
        <v>54</v>
      </c>
      <c r="AW43" s="133">
        <f t="shared" si="38"/>
        <v>0.32918545554441608</v>
      </c>
      <c r="AX43" s="135">
        <f t="shared" si="39"/>
        <v>174272604.80000001</v>
      </c>
      <c r="AY43" s="135">
        <f t="shared" si="19"/>
        <v>9612.3885714285716</v>
      </c>
      <c r="AZ43" s="136">
        <f t="shared" si="40"/>
        <v>35</v>
      </c>
    </row>
    <row r="44" spans="1:52" ht="15.6" customHeight="1" x14ac:dyDescent="0.2">
      <c r="A44" s="121">
        <v>38</v>
      </c>
      <c r="B44" s="122" t="s">
        <v>168</v>
      </c>
      <c r="C44" s="137">
        <f>'8_2.1.21 SIS'!AV44</f>
        <v>3806</v>
      </c>
      <c r="D44" s="123">
        <v>2669</v>
      </c>
      <c r="E44" s="123">
        <f t="shared" si="20"/>
        <v>587.17999999999995</v>
      </c>
      <c r="F44" s="124">
        <v>2221</v>
      </c>
      <c r="G44" s="123">
        <f t="shared" si="21"/>
        <v>133.26</v>
      </c>
      <c r="H44" s="123">
        <v>576</v>
      </c>
      <c r="I44" s="123">
        <f t="shared" si="22"/>
        <v>864</v>
      </c>
      <c r="J44" s="123">
        <v>228</v>
      </c>
      <c r="K44" s="123">
        <f t="shared" si="23"/>
        <v>136.79999999999998</v>
      </c>
      <c r="L44" s="123">
        <f t="shared" si="1"/>
        <v>3694</v>
      </c>
      <c r="M44" s="126">
        <f t="shared" si="2"/>
        <v>9.851E-2</v>
      </c>
      <c r="N44" s="123">
        <f t="shared" si="3"/>
        <v>374.92905999999999</v>
      </c>
      <c r="O44" s="123">
        <f t="shared" si="24"/>
        <v>2096.1690600000002</v>
      </c>
      <c r="P44" s="123">
        <f t="shared" si="4"/>
        <v>5902.1690600000002</v>
      </c>
      <c r="Q44" s="127">
        <f t="shared" si="25"/>
        <v>4015</v>
      </c>
      <c r="R44" s="127">
        <f t="shared" si="5"/>
        <v>23697209</v>
      </c>
      <c r="S44" s="127">
        <f>'6_Local Deduct Calc'!J44</f>
        <v>19067456</v>
      </c>
      <c r="T44" s="127">
        <f t="shared" si="26"/>
        <v>17772907</v>
      </c>
      <c r="U44" s="128">
        <f t="shared" si="27"/>
        <v>5924302</v>
      </c>
      <c r="V44" s="129">
        <f t="shared" si="41"/>
        <v>0.25</v>
      </c>
      <c r="W44" s="129">
        <f t="shared" si="28"/>
        <v>0.75</v>
      </c>
      <c r="X44" s="130">
        <f t="shared" si="6"/>
        <v>4669.7075669994747</v>
      </c>
      <c r="Y44" s="127">
        <f>'7_Local Revenue'!AS44</f>
        <v>42880958</v>
      </c>
      <c r="Z44" s="127">
        <f t="shared" si="29"/>
        <v>25108051</v>
      </c>
      <c r="AA44" s="131">
        <f t="shared" si="30"/>
        <v>0</v>
      </c>
      <c r="AB44" s="131">
        <f t="shared" si="7"/>
        <v>8057051.0600000005</v>
      </c>
      <c r="AC44" s="131">
        <f t="shared" si="8"/>
        <v>8057051.0600000005</v>
      </c>
      <c r="AD44" s="127">
        <f t="shared" si="9"/>
        <v>10393595.867400002</v>
      </c>
      <c r="AE44" s="132">
        <f t="shared" si="31"/>
        <v>0</v>
      </c>
      <c r="AF44" s="131">
        <f t="shared" si="10"/>
        <v>0</v>
      </c>
      <c r="AG44" s="133">
        <f t="shared" si="32"/>
        <v>0</v>
      </c>
      <c r="AH44" s="132">
        <f t="shared" si="11"/>
        <v>5924302</v>
      </c>
      <c r="AI44" s="131">
        <f t="shared" si="12"/>
        <v>1557</v>
      </c>
      <c r="AJ44" s="132">
        <f>'3A_Level 3'!J44</f>
        <v>1638624</v>
      </c>
      <c r="AK44" s="131">
        <f t="shared" si="13"/>
        <v>430.53704676826067</v>
      </c>
      <c r="AL44" s="132">
        <f t="shared" si="33"/>
        <v>7562926</v>
      </c>
      <c r="AM44" s="131">
        <f t="shared" si="14"/>
        <v>1987.1061481870731</v>
      </c>
      <c r="AN44" s="134">
        <f>'3A_Level 3'!K44</f>
        <v>4797300</v>
      </c>
      <c r="AO44" s="135">
        <f t="shared" si="15"/>
        <v>1260.4571728849185</v>
      </c>
      <c r="AP44" s="132">
        <f t="shared" si="34"/>
        <v>10721602</v>
      </c>
      <c r="AQ44" s="131">
        <f t="shared" si="16"/>
        <v>2817.026274303731</v>
      </c>
      <c r="AR44" s="133">
        <f t="shared" si="35"/>
        <v>0.29332816389780109</v>
      </c>
      <c r="AS44" s="136">
        <f t="shared" si="36"/>
        <v>68</v>
      </c>
      <c r="AT44" s="131">
        <f t="shared" si="17"/>
        <v>25829958.059999999</v>
      </c>
      <c r="AU44" s="131">
        <f t="shared" si="18"/>
        <v>6786.64</v>
      </c>
      <c r="AV44" s="136">
        <f t="shared" si="37"/>
        <v>2</v>
      </c>
      <c r="AW44" s="133">
        <f t="shared" si="38"/>
        <v>0.70667183610219886</v>
      </c>
      <c r="AX44" s="135">
        <f t="shared" si="39"/>
        <v>36551560.060000002</v>
      </c>
      <c r="AY44" s="135">
        <f t="shared" si="19"/>
        <v>9603.6679085654232</v>
      </c>
      <c r="AZ44" s="136">
        <f t="shared" si="40"/>
        <v>39</v>
      </c>
    </row>
    <row r="45" spans="1:52" ht="15.6" customHeight="1" x14ac:dyDescent="0.2">
      <c r="A45" s="121">
        <v>39</v>
      </c>
      <c r="B45" s="122" t="s">
        <v>169</v>
      </c>
      <c r="C45" s="137">
        <f>'8_2.1.21 SIS'!AV45</f>
        <v>2564</v>
      </c>
      <c r="D45" s="123">
        <v>1966</v>
      </c>
      <c r="E45" s="123">
        <f t="shared" si="20"/>
        <v>432.52</v>
      </c>
      <c r="F45" s="124">
        <v>1178.5</v>
      </c>
      <c r="G45" s="123">
        <f t="shared" si="21"/>
        <v>70.709999999999994</v>
      </c>
      <c r="H45" s="123">
        <v>477</v>
      </c>
      <c r="I45" s="123">
        <f t="shared" si="22"/>
        <v>715.5</v>
      </c>
      <c r="J45" s="123">
        <v>43</v>
      </c>
      <c r="K45" s="123">
        <f t="shared" si="23"/>
        <v>25.8</v>
      </c>
      <c r="L45" s="123">
        <f t="shared" si="1"/>
        <v>4936</v>
      </c>
      <c r="M45" s="126">
        <f t="shared" si="2"/>
        <v>0.13163</v>
      </c>
      <c r="N45" s="123">
        <f t="shared" si="3"/>
        <v>337.49932000000001</v>
      </c>
      <c r="O45" s="123">
        <f t="shared" si="24"/>
        <v>1582.0293200000001</v>
      </c>
      <c r="P45" s="123">
        <f t="shared" si="4"/>
        <v>4146.0293199999996</v>
      </c>
      <c r="Q45" s="127">
        <f t="shared" si="25"/>
        <v>4015</v>
      </c>
      <c r="R45" s="127">
        <f t="shared" si="5"/>
        <v>16646308</v>
      </c>
      <c r="S45" s="127">
        <f>'6_Local Deduct Calc'!J45</f>
        <v>9506056</v>
      </c>
      <c r="T45" s="127">
        <f t="shared" si="26"/>
        <v>9506056</v>
      </c>
      <c r="U45" s="128">
        <f t="shared" si="27"/>
        <v>7140252</v>
      </c>
      <c r="V45" s="129">
        <f t="shared" si="41"/>
        <v>0.4289</v>
      </c>
      <c r="W45" s="129">
        <f t="shared" si="28"/>
        <v>0.57110000000000005</v>
      </c>
      <c r="X45" s="130">
        <f t="shared" si="6"/>
        <v>3707.5101404056163</v>
      </c>
      <c r="Y45" s="127">
        <f>'7_Local Revenue'!AS45</f>
        <v>15289508</v>
      </c>
      <c r="Z45" s="127">
        <f t="shared" si="29"/>
        <v>5783452</v>
      </c>
      <c r="AA45" s="131">
        <f t="shared" si="30"/>
        <v>0</v>
      </c>
      <c r="AB45" s="131">
        <f t="shared" si="7"/>
        <v>5659744.7200000007</v>
      </c>
      <c r="AC45" s="131">
        <f t="shared" si="8"/>
        <v>5659744.7200000007</v>
      </c>
      <c r="AD45" s="127">
        <f t="shared" si="9"/>
        <v>5559521.9604982408</v>
      </c>
      <c r="AE45" s="132">
        <f t="shared" si="31"/>
        <v>100223</v>
      </c>
      <c r="AF45" s="131">
        <f t="shared" si="10"/>
        <v>39</v>
      </c>
      <c r="AG45" s="133">
        <f t="shared" si="32"/>
        <v>1.77E-2</v>
      </c>
      <c r="AH45" s="132">
        <f t="shared" si="11"/>
        <v>7240475</v>
      </c>
      <c r="AI45" s="131">
        <f t="shared" si="12"/>
        <v>2824</v>
      </c>
      <c r="AJ45" s="132">
        <f>'3A_Level 3'!J45</f>
        <v>764048</v>
      </c>
      <c r="AK45" s="131">
        <f t="shared" si="13"/>
        <v>297.990639625585</v>
      </c>
      <c r="AL45" s="132">
        <f t="shared" si="33"/>
        <v>8004523</v>
      </c>
      <c r="AM45" s="131">
        <f t="shared" si="14"/>
        <v>3121.8888455538222</v>
      </c>
      <c r="AN45" s="134">
        <f>'3A_Level 3'!K45</f>
        <v>2763096</v>
      </c>
      <c r="AO45" s="135">
        <f t="shared" si="15"/>
        <v>1077.6505460218409</v>
      </c>
      <c r="AP45" s="132">
        <f t="shared" si="34"/>
        <v>10003571</v>
      </c>
      <c r="AQ45" s="131">
        <f t="shared" si="16"/>
        <v>3901.548751950078</v>
      </c>
      <c r="AR45" s="133">
        <f t="shared" si="35"/>
        <v>0.39745016726226018</v>
      </c>
      <c r="AS45" s="136">
        <f t="shared" si="36"/>
        <v>62</v>
      </c>
      <c r="AT45" s="131">
        <f t="shared" si="17"/>
        <v>15165800.720000001</v>
      </c>
      <c r="AU45" s="131">
        <f t="shared" si="18"/>
        <v>5914.9</v>
      </c>
      <c r="AV45" s="136">
        <f t="shared" si="37"/>
        <v>6</v>
      </c>
      <c r="AW45" s="133">
        <f t="shared" si="38"/>
        <v>0.60254983273773988</v>
      </c>
      <c r="AX45" s="135">
        <f t="shared" si="39"/>
        <v>25169371.719999999</v>
      </c>
      <c r="AY45" s="135">
        <f t="shared" si="19"/>
        <v>9816.4476287051475</v>
      </c>
      <c r="AZ45" s="136">
        <f t="shared" si="40"/>
        <v>28</v>
      </c>
    </row>
    <row r="46" spans="1:52" ht="15.6" customHeight="1" x14ac:dyDescent="0.2">
      <c r="A46" s="138">
        <v>40</v>
      </c>
      <c r="B46" s="139" t="s">
        <v>170</v>
      </c>
      <c r="C46" s="140">
        <f>'8_2.1.21 SIS'!AV46</f>
        <v>21351</v>
      </c>
      <c r="D46" s="141">
        <v>15916</v>
      </c>
      <c r="E46" s="141">
        <f t="shared" si="20"/>
        <v>3501.52</v>
      </c>
      <c r="F46" s="142">
        <v>11910</v>
      </c>
      <c r="G46" s="141">
        <f t="shared" si="21"/>
        <v>714.6</v>
      </c>
      <c r="H46" s="141">
        <v>2985</v>
      </c>
      <c r="I46" s="141">
        <f t="shared" si="22"/>
        <v>4477.5</v>
      </c>
      <c r="J46" s="141">
        <v>462</v>
      </c>
      <c r="K46" s="141">
        <f t="shared" si="23"/>
        <v>277.2</v>
      </c>
      <c r="L46" s="141">
        <f t="shared" si="1"/>
        <v>0</v>
      </c>
      <c r="M46" s="143">
        <f t="shared" si="2"/>
        <v>0</v>
      </c>
      <c r="N46" s="141">
        <f t="shared" si="3"/>
        <v>0</v>
      </c>
      <c r="O46" s="141">
        <f t="shared" si="24"/>
        <v>8970.82</v>
      </c>
      <c r="P46" s="144">
        <f t="shared" si="4"/>
        <v>30321.82</v>
      </c>
      <c r="Q46" s="145">
        <f t="shared" si="25"/>
        <v>4015</v>
      </c>
      <c r="R46" s="145">
        <f t="shared" si="5"/>
        <v>121742107</v>
      </c>
      <c r="S46" s="145">
        <f>'6_Local Deduct Calc'!J46</f>
        <v>32236797</v>
      </c>
      <c r="T46" s="145">
        <f t="shared" si="26"/>
        <v>32236797</v>
      </c>
      <c r="U46" s="146">
        <f t="shared" si="27"/>
        <v>89505310</v>
      </c>
      <c r="V46" s="147">
        <f t="shared" si="41"/>
        <v>0.73519999999999996</v>
      </c>
      <c r="W46" s="148">
        <f t="shared" si="28"/>
        <v>0.26479999999999998</v>
      </c>
      <c r="X46" s="149">
        <f t="shared" si="6"/>
        <v>1509.8495152451876</v>
      </c>
      <c r="Y46" s="145">
        <f>'7_Local Revenue'!AS46</f>
        <v>92839572</v>
      </c>
      <c r="Z46" s="145">
        <f t="shared" si="29"/>
        <v>60602775</v>
      </c>
      <c r="AA46" s="150">
        <f t="shared" si="30"/>
        <v>0</v>
      </c>
      <c r="AB46" s="150">
        <f t="shared" si="7"/>
        <v>41392316.380000003</v>
      </c>
      <c r="AC46" s="150">
        <f t="shared" si="8"/>
        <v>41392316.380000003</v>
      </c>
      <c r="AD46" s="145">
        <f t="shared" si="9"/>
        <v>18852378.84916928</v>
      </c>
      <c r="AE46" s="151">
        <f t="shared" si="31"/>
        <v>22539938</v>
      </c>
      <c r="AF46" s="150">
        <f t="shared" si="10"/>
        <v>1056</v>
      </c>
      <c r="AG46" s="152">
        <f t="shared" si="32"/>
        <v>0.54449999999999998</v>
      </c>
      <c r="AH46" s="151">
        <f t="shared" si="11"/>
        <v>112045248</v>
      </c>
      <c r="AI46" s="150">
        <f t="shared" si="12"/>
        <v>5248</v>
      </c>
      <c r="AJ46" s="151">
        <f>'3A_Level 3'!J46</f>
        <v>3658649</v>
      </c>
      <c r="AK46" s="150">
        <f t="shared" si="13"/>
        <v>171.35726663856494</v>
      </c>
      <c r="AL46" s="151">
        <f t="shared" si="33"/>
        <v>115703897</v>
      </c>
      <c r="AM46" s="150">
        <f t="shared" si="14"/>
        <v>5419.1324528125142</v>
      </c>
      <c r="AN46" s="153">
        <f>'3A_Level 3'!K46</f>
        <v>18610114</v>
      </c>
      <c r="AO46" s="154">
        <f t="shared" si="15"/>
        <v>871.62727741089407</v>
      </c>
      <c r="AP46" s="151">
        <f t="shared" si="34"/>
        <v>130655362</v>
      </c>
      <c r="AQ46" s="150">
        <f t="shared" si="16"/>
        <v>6119.4024635848436</v>
      </c>
      <c r="AR46" s="152">
        <f t="shared" si="35"/>
        <v>0.63957558085097399</v>
      </c>
      <c r="AS46" s="155">
        <f t="shared" si="36"/>
        <v>31</v>
      </c>
      <c r="AT46" s="150">
        <f t="shared" si="17"/>
        <v>73629113.379999995</v>
      </c>
      <c r="AU46" s="150">
        <f t="shared" si="18"/>
        <v>3448.51</v>
      </c>
      <c r="AV46" s="155">
        <f t="shared" si="37"/>
        <v>44</v>
      </c>
      <c r="AW46" s="152">
        <f t="shared" si="38"/>
        <v>0.36042441914902595</v>
      </c>
      <c r="AX46" s="154">
        <f t="shared" si="39"/>
        <v>204284475.38</v>
      </c>
      <c r="AY46" s="154">
        <f t="shared" si="19"/>
        <v>9567.9113568451121</v>
      </c>
      <c r="AZ46" s="155">
        <f t="shared" si="40"/>
        <v>42</v>
      </c>
    </row>
    <row r="47" spans="1:52" ht="15.6" customHeight="1" x14ac:dyDescent="0.2">
      <c r="A47" s="121">
        <v>41</v>
      </c>
      <c r="B47" s="122" t="s">
        <v>171</v>
      </c>
      <c r="C47" s="123">
        <f>'8_2.1.21 SIS'!AV47</f>
        <v>1247</v>
      </c>
      <c r="D47" s="123">
        <v>1069</v>
      </c>
      <c r="E47" s="123">
        <f t="shared" si="20"/>
        <v>235.18</v>
      </c>
      <c r="F47" s="124">
        <v>418</v>
      </c>
      <c r="G47" s="123">
        <f t="shared" si="21"/>
        <v>25.08</v>
      </c>
      <c r="H47" s="123">
        <v>175</v>
      </c>
      <c r="I47" s="123">
        <f t="shared" si="22"/>
        <v>262.5</v>
      </c>
      <c r="J47" s="123">
        <v>18</v>
      </c>
      <c r="K47" s="123">
        <f t="shared" si="23"/>
        <v>10.799999999999999</v>
      </c>
      <c r="L47" s="125">
        <f t="shared" si="1"/>
        <v>6253</v>
      </c>
      <c r="M47" s="126">
        <f t="shared" si="2"/>
        <v>0.16675000000000001</v>
      </c>
      <c r="N47" s="123">
        <f t="shared" si="3"/>
        <v>207.93725000000001</v>
      </c>
      <c r="O47" s="123">
        <f t="shared" si="24"/>
        <v>741.49724999999989</v>
      </c>
      <c r="P47" s="123">
        <f t="shared" si="4"/>
        <v>1988.4972499999999</v>
      </c>
      <c r="Q47" s="127">
        <f t="shared" si="25"/>
        <v>4015</v>
      </c>
      <c r="R47" s="127">
        <f t="shared" si="5"/>
        <v>7983816</v>
      </c>
      <c r="S47" s="127">
        <f>'6_Local Deduct Calc'!J47</f>
        <v>4951671</v>
      </c>
      <c r="T47" s="127">
        <f t="shared" si="26"/>
        <v>4951671</v>
      </c>
      <c r="U47" s="128">
        <f t="shared" si="27"/>
        <v>3032145</v>
      </c>
      <c r="V47" s="129">
        <f t="shared" si="41"/>
        <v>0.37980000000000003</v>
      </c>
      <c r="W47" s="129">
        <f t="shared" si="28"/>
        <v>0.62019999999999997</v>
      </c>
      <c r="X47" s="130">
        <f t="shared" si="6"/>
        <v>3970.8668805132315</v>
      </c>
      <c r="Y47" s="127">
        <f>'7_Local Revenue'!AS47</f>
        <v>16710533</v>
      </c>
      <c r="Z47" s="127">
        <f t="shared" si="29"/>
        <v>11758862</v>
      </c>
      <c r="AA47" s="131">
        <f t="shared" si="30"/>
        <v>0</v>
      </c>
      <c r="AB47" s="131">
        <f t="shared" si="7"/>
        <v>2714497.4400000004</v>
      </c>
      <c r="AC47" s="131">
        <f t="shared" si="8"/>
        <v>2714497.4400000004</v>
      </c>
      <c r="AD47" s="127">
        <f t="shared" si="9"/>
        <v>2895673.8571353601</v>
      </c>
      <c r="AE47" s="132">
        <f t="shared" si="31"/>
        <v>0</v>
      </c>
      <c r="AF47" s="131">
        <f t="shared" si="10"/>
        <v>0</v>
      </c>
      <c r="AG47" s="133">
        <f t="shared" si="32"/>
        <v>0</v>
      </c>
      <c r="AH47" s="132">
        <f t="shared" si="11"/>
        <v>3032145</v>
      </c>
      <c r="AI47" s="131">
        <f t="shared" si="12"/>
        <v>2432</v>
      </c>
      <c r="AJ47" s="132">
        <f>'3A_Level 3'!J47</f>
        <v>213683</v>
      </c>
      <c r="AK47" s="131">
        <f t="shared" si="13"/>
        <v>171.35765838011227</v>
      </c>
      <c r="AL47" s="132">
        <f t="shared" si="33"/>
        <v>3245828</v>
      </c>
      <c r="AM47" s="131">
        <f t="shared" si="14"/>
        <v>2602.9093825180435</v>
      </c>
      <c r="AN47" s="134">
        <f>'3A_Level 3'!K47</f>
        <v>1318799</v>
      </c>
      <c r="AO47" s="135">
        <f t="shared" si="15"/>
        <v>1057.5773857257418</v>
      </c>
      <c r="AP47" s="132">
        <f t="shared" si="34"/>
        <v>4350944</v>
      </c>
      <c r="AQ47" s="131">
        <f t="shared" si="16"/>
        <v>3489.129109863673</v>
      </c>
      <c r="AR47" s="133">
        <f t="shared" si="35"/>
        <v>0.36206235247641566</v>
      </c>
      <c r="AS47" s="136">
        <f t="shared" si="36"/>
        <v>63</v>
      </c>
      <c r="AT47" s="131">
        <f t="shared" si="17"/>
        <v>7666168.4400000004</v>
      </c>
      <c r="AU47" s="131">
        <f t="shared" si="18"/>
        <v>6147.69</v>
      </c>
      <c r="AV47" s="136">
        <f t="shared" si="37"/>
        <v>5</v>
      </c>
      <c r="AW47" s="133">
        <f t="shared" si="38"/>
        <v>0.63793764752358428</v>
      </c>
      <c r="AX47" s="135">
        <f t="shared" si="39"/>
        <v>12017112.440000001</v>
      </c>
      <c r="AY47" s="135">
        <f t="shared" si="19"/>
        <v>9636.8183159583004</v>
      </c>
      <c r="AZ47" s="136">
        <f t="shared" si="40"/>
        <v>33</v>
      </c>
    </row>
    <row r="48" spans="1:52" ht="15.6" customHeight="1" x14ac:dyDescent="0.2">
      <c r="A48" s="121">
        <v>42</v>
      </c>
      <c r="B48" s="122" t="s">
        <v>172</v>
      </c>
      <c r="C48" s="137">
        <f>'8_2.1.21 SIS'!AV48</f>
        <v>2695</v>
      </c>
      <c r="D48" s="123">
        <v>2258</v>
      </c>
      <c r="E48" s="123">
        <f t="shared" si="20"/>
        <v>496.76</v>
      </c>
      <c r="F48" s="124">
        <v>1397</v>
      </c>
      <c r="G48" s="123">
        <f t="shared" si="21"/>
        <v>83.82</v>
      </c>
      <c r="H48" s="123">
        <v>377</v>
      </c>
      <c r="I48" s="123">
        <f t="shared" si="22"/>
        <v>565.5</v>
      </c>
      <c r="J48" s="123">
        <v>54</v>
      </c>
      <c r="K48" s="123">
        <f t="shared" si="23"/>
        <v>32.4</v>
      </c>
      <c r="L48" s="123">
        <f t="shared" si="1"/>
        <v>4805</v>
      </c>
      <c r="M48" s="126">
        <f t="shared" si="2"/>
        <v>0.12812999999999999</v>
      </c>
      <c r="N48" s="123">
        <f t="shared" si="3"/>
        <v>345.31034999999997</v>
      </c>
      <c r="O48" s="123">
        <f t="shared" si="24"/>
        <v>1523.79035</v>
      </c>
      <c r="P48" s="123">
        <f t="shared" si="4"/>
        <v>4218.7903500000002</v>
      </c>
      <c r="Q48" s="127">
        <f t="shared" si="25"/>
        <v>4015</v>
      </c>
      <c r="R48" s="127">
        <f t="shared" si="5"/>
        <v>16938443</v>
      </c>
      <c r="S48" s="127">
        <f>'6_Local Deduct Calc'!J48</f>
        <v>5473178</v>
      </c>
      <c r="T48" s="127">
        <f t="shared" si="26"/>
        <v>5473178</v>
      </c>
      <c r="U48" s="128">
        <f t="shared" si="27"/>
        <v>11465265</v>
      </c>
      <c r="V48" s="129">
        <f t="shared" si="41"/>
        <v>0.67689999999999995</v>
      </c>
      <c r="W48" s="129">
        <f t="shared" si="28"/>
        <v>0.3231</v>
      </c>
      <c r="X48" s="130">
        <f t="shared" si="6"/>
        <v>2030.8638218923934</v>
      </c>
      <c r="Y48" s="127">
        <f>'7_Local Revenue'!AS48</f>
        <v>13358034</v>
      </c>
      <c r="Z48" s="127">
        <f t="shared" si="29"/>
        <v>7884856</v>
      </c>
      <c r="AA48" s="131">
        <f t="shared" si="30"/>
        <v>0</v>
      </c>
      <c r="AB48" s="131">
        <f t="shared" si="7"/>
        <v>5759070.6200000001</v>
      </c>
      <c r="AC48" s="131">
        <f t="shared" si="8"/>
        <v>5759070.6200000001</v>
      </c>
      <c r="AD48" s="127">
        <f t="shared" si="9"/>
        <v>3200499.8337938399</v>
      </c>
      <c r="AE48" s="132">
        <f t="shared" si="31"/>
        <v>2558571</v>
      </c>
      <c r="AF48" s="131">
        <f t="shared" si="10"/>
        <v>949</v>
      </c>
      <c r="AG48" s="133">
        <f t="shared" si="32"/>
        <v>0.44429999999999997</v>
      </c>
      <c r="AH48" s="132">
        <f t="shared" si="11"/>
        <v>14023836</v>
      </c>
      <c r="AI48" s="131">
        <f t="shared" si="12"/>
        <v>5204</v>
      </c>
      <c r="AJ48" s="132">
        <f>'3A_Level 3'!J48</f>
        <v>461808</v>
      </c>
      <c r="AK48" s="131">
        <f t="shared" si="13"/>
        <v>171.35732838589982</v>
      </c>
      <c r="AL48" s="132">
        <f t="shared" si="33"/>
        <v>14485644</v>
      </c>
      <c r="AM48" s="131">
        <f t="shared" si="14"/>
        <v>5375.0070500927641</v>
      </c>
      <c r="AN48" s="134">
        <f>'3A_Level 3'!K48</f>
        <v>1901693</v>
      </c>
      <c r="AO48" s="135">
        <f t="shared" si="15"/>
        <v>705.63747680890538</v>
      </c>
      <c r="AP48" s="132">
        <f t="shared" si="34"/>
        <v>15925529</v>
      </c>
      <c r="AQ48" s="131">
        <f t="shared" si="16"/>
        <v>5909.2871985157699</v>
      </c>
      <c r="AR48" s="133">
        <f t="shared" si="35"/>
        <v>0.58640766644586739</v>
      </c>
      <c r="AS48" s="136">
        <f t="shared" si="36"/>
        <v>48</v>
      </c>
      <c r="AT48" s="131">
        <f t="shared" si="17"/>
        <v>11232248.619999999</v>
      </c>
      <c r="AU48" s="131">
        <f t="shared" si="18"/>
        <v>4167.8100000000004</v>
      </c>
      <c r="AV48" s="136">
        <f t="shared" si="37"/>
        <v>22</v>
      </c>
      <c r="AW48" s="133">
        <f t="shared" si="38"/>
        <v>0.41359233355413272</v>
      </c>
      <c r="AX48" s="135">
        <f t="shared" si="39"/>
        <v>27157777.619999997</v>
      </c>
      <c r="AY48" s="135">
        <f t="shared" si="19"/>
        <v>10077.097447124303</v>
      </c>
      <c r="AZ48" s="136">
        <f t="shared" si="40"/>
        <v>20</v>
      </c>
    </row>
    <row r="49" spans="1:52" ht="15.6" customHeight="1" x14ac:dyDescent="0.2">
      <c r="A49" s="121">
        <v>43</v>
      </c>
      <c r="B49" s="122" t="s">
        <v>173</v>
      </c>
      <c r="C49" s="137">
        <f>'8_2.1.21 SIS'!AV49</f>
        <v>3938</v>
      </c>
      <c r="D49" s="123">
        <v>3155</v>
      </c>
      <c r="E49" s="123">
        <f t="shared" si="20"/>
        <v>694.1</v>
      </c>
      <c r="F49" s="124">
        <v>2555</v>
      </c>
      <c r="G49" s="123">
        <f t="shared" si="21"/>
        <v>153.29999999999998</v>
      </c>
      <c r="H49" s="123">
        <v>508</v>
      </c>
      <c r="I49" s="123">
        <f t="shared" si="22"/>
        <v>762</v>
      </c>
      <c r="J49" s="123">
        <v>77</v>
      </c>
      <c r="K49" s="123">
        <f t="shared" si="23"/>
        <v>46.199999999999996</v>
      </c>
      <c r="L49" s="123">
        <f t="shared" si="1"/>
        <v>3562</v>
      </c>
      <c r="M49" s="126">
        <f t="shared" si="2"/>
        <v>9.4990000000000005E-2</v>
      </c>
      <c r="N49" s="123">
        <f t="shared" si="3"/>
        <v>374.07062000000002</v>
      </c>
      <c r="O49" s="123">
        <f t="shared" si="24"/>
        <v>2029.6706200000001</v>
      </c>
      <c r="P49" s="123">
        <f t="shared" si="4"/>
        <v>5967.6706199999999</v>
      </c>
      <c r="Q49" s="127">
        <f t="shared" si="25"/>
        <v>4015</v>
      </c>
      <c r="R49" s="127">
        <f t="shared" si="5"/>
        <v>23960198</v>
      </c>
      <c r="S49" s="127">
        <f>'6_Local Deduct Calc'!J49</f>
        <v>6632320</v>
      </c>
      <c r="T49" s="127">
        <f t="shared" si="26"/>
        <v>6632320</v>
      </c>
      <c r="U49" s="128">
        <f t="shared" si="27"/>
        <v>17327878</v>
      </c>
      <c r="V49" s="129">
        <f t="shared" si="41"/>
        <v>0.72319999999999995</v>
      </c>
      <c r="W49" s="129">
        <f t="shared" si="28"/>
        <v>0.27679999999999999</v>
      </c>
      <c r="X49" s="130">
        <f t="shared" si="6"/>
        <v>1684.1848654139158</v>
      </c>
      <c r="Y49" s="127">
        <f>'7_Local Revenue'!AS49</f>
        <v>20127842</v>
      </c>
      <c r="Z49" s="127">
        <f t="shared" si="29"/>
        <v>13495522</v>
      </c>
      <c r="AA49" s="131">
        <f t="shared" si="30"/>
        <v>0</v>
      </c>
      <c r="AB49" s="131">
        <f t="shared" si="7"/>
        <v>8146467.3200000003</v>
      </c>
      <c r="AC49" s="131">
        <f t="shared" si="8"/>
        <v>8146467.3200000003</v>
      </c>
      <c r="AD49" s="127">
        <f t="shared" si="9"/>
        <v>3878500.5051827198</v>
      </c>
      <c r="AE49" s="132">
        <f t="shared" si="31"/>
        <v>4267967</v>
      </c>
      <c r="AF49" s="131">
        <f t="shared" si="10"/>
        <v>1084</v>
      </c>
      <c r="AG49" s="133">
        <f t="shared" si="32"/>
        <v>0.52390000000000003</v>
      </c>
      <c r="AH49" s="132">
        <f t="shared" si="11"/>
        <v>21595845</v>
      </c>
      <c r="AI49" s="131">
        <f t="shared" si="12"/>
        <v>5484</v>
      </c>
      <c r="AJ49" s="132">
        <f>'3A_Level 3'!J49</f>
        <v>674805</v>
      </c>
      <c r="AK49" s="131">
        <f t="shared" si="13"/>
        <v>171.35728796343321</v>
      </c>
      <c r="AL49" s="132">
        <f t="shared" si="33"/>
        <v>22270650</v>
      </c>
      <c r="AM49" s="131">
        <f t="shared" si="14"/>
        <v>5655.3199593702384</v>
      </c>
      <c r="AN49" s="134">
        <f>'3A_Level 3'!K49</f>
        <v>2937619</v>
      </c>
      <c r="AO49" s="135">
        <f t="shared" si="15"/>
        <v>745.96724225495177</v>
      </c>
      <c r="AP49" s="132">
        <f t="shared" si="34"/>
        <v>24533464</v>
      </c>
      <c r="AQ49" s="131">
        <f t="shared" si="16"/>
        <v>6229.9299136617574</v>
      </c>
      <c r="AR49" s="133">
        <f t="shared" si="35"/>
        <v>0.62406662493833487</v>
      </c>
      <c r="AS49" s="136">
        <f t="shared" si="36"/>
        <v>38</v>
      </c>
      <c r="AT49" s="131">
        <f t="shared" si="17"/>
        <v>14778787.32</v>
      </c>
      <c r="AU49" s="131">
        <f t="shared" si="18"/>
        <v>3752.87</v>
      </c>
      <c r="AV49" s="136">
        <f t="shared" si="37"/>
        <v>31</v>
      </c>
      <c r="AW49" s="133">
        <f t="shared" si="38"/>
        <v>0.37593337506166513</v>
      </c>
      <c r="AX49" s="135">
        <f t="shared" si="39"/>
        <v>39312251.32</v>
      </c>
      <c r="AY49" s="135">
        <f t="shared" si="19"/>
        <v>9982.7961706449969</v>
      </c>
      <c r="AZ49" s="136">
        <f t="shared" si="40"/>
        <v>25</v>
      </c>
    </row>
    <row r="50" spans="1:52" ht="15.6" customHeight="1" x14ac:dyDescent="0.2">
      <c r="A50" s="121">
        <v>44</v>
      </c>
      <c r="B50" s="122" t="s">
        <v>174</v>
      </c>
      <c r="C50" s="137">
        <f>'8_2.1.21 SIS'!AV50</f>
        <v>7593</v>
      </c>
      <c r="D50" s="123">
        <v>6229</v>
      </c>
      <c r="E50" s="123">
        <f t="shared" si="20"/>
        <v>1370.38</v>
      </c>
      <c r="F50" s="124">
        <v>3228.5</v>
      </c>
      <c r="G50" s="123">
        <f t="shared" si="21"/>
        <v>193.70999999999998</v>
      </c>
      <c r="H50" s="123">
        <v>902</v>
      </c>
      <c r="I50" s="123">
        <f t="shared" si="22"/>
        <v>1353</v>
      </c>
      <c r="J50" s="123">
        <v>125</v>
      </c>
      <c r="K50" s="123">
        <f t="shared" si="23"/>
        <v>75</v>
      </c>
      <c r="L50" s="123">
        <f t="shared" si="1"/>
        <v>0</v>
      </c>
      <c r="M50" s="126">
        <f t="shared" si="2"/>
        <v>0</v>
      </c>
      <c r="N50" s="123">
        <f t="shared" si="3"/>
        <v>0</v>
      </c>
      <c r="O50" s="123">
        <f t="shared" si="24"/>
        <v>2992.09</v>
      </c>
      <c r="P50" s="123">
        <f t="shared" si="4"/>
        <v>10585.09</v>
      </c>
      <c r="Q50" s="127">
        <f t="shared" si="25"/>
        <v>4015</v>
      </c>
      <c r="R50" s="127">
        <f t="shared" si="5"/>
        <v>42499136</v>
      </c>
      <c r="S50" s="127">
        <f>'6_Local Deduct Calc'!J50</f>
        <v>11107648</v>
      </c>
      <c r="T50" s="127">
        <f t="shared" si="26"/>
        <v>11107648</v>
      </c>
      <c r="U50" s="128">
        <f t="shared" si="27"/>
        <v>31391488</v>
      </c>
      <c r="V50" s="129">
        <f t="shared" si="41"/>
        <v>0.73860000000000003</v>
      </c>
      <c r="W50" s="129">
        <f t="shared" si="28"/>
        <v>0.26140000000000002</v>
      </c>
      <c r="X50" s="130">
        <f t="shared" si="6"/>
        <v>1462.8800210720401</v>
      </c>
      <c r="Y50" s="127">
        <f>'7_Local Revenue'!AS50</f>
        <v>32999720</v>
      </c>
      <c r="Z50" s="127">
        <f t="shared" si="29"/>
        <v>21892072</v>
      </c>
      <c r="AA50" s="131">
        <f t="shared" si="30"/>
        <v>0</v>
      </c>
      <c r="AB50" s="131">
        <f t="shared" si="7"/>
        <v>14449706.24</v>
      </c>
      <c r="AC50" s="131">
        <f t="shared" si="8"/>
        <v>14449706.24</v>
      </c>
      <c r="AD50" s="127">
        <f t="shared" si="9"/>
        <v>6496703.5231539207</v>
      </c>
      <c r="AE50" s="132">
        <f t="shared" si="31"/>
        <v>7953003</v>
      </c>
      <c r="AF50" s="131">
        <f t="shared" si="10"/>
        <v>1047</v>
      </c>
      <c r="AG50" s="133">
        <f t="shared" si="32"/>
        <v>0.5504</v>
      </c>
      <c r="AH50" s="132">
        <f t="shared" si="11"/>
        <v>39344491</v>
      </c>
      <c r="AI50" s="131">
        <f t="shared" si="12"/>
        <v>5182</v>
      </c>
      <c r="AJ50" s="132">
        <f>'3A_Level 3'!J50</f>
        <v>1301116</v>
      </c>
      <c r="AK50" s="131">
        <f t="shared" si="13"/>
        <v>171.35730277887529</v>
      </c>
      <c r="AL50" s="132">
        <f t="shared" si="33"/>
        <v>40645607</v>
      </c>
      <c r="AM50" s="131">
        <f t="shared" si="14"/>
        <v>5353.0366126695644</v>
      </c>
      <c r="AN50" s="134">
        <f>'3A_Level 3'!K50</f>
        <v>6336490</v>
      </c>
      <c r="AO50" s="135">
        <f t="shared" si="15"/>
        <v>834.51731858290532</v>
      </c>
      <c r="AP50" s="132">
        <f t="shared" si="34"/>
        <v>45680981</v>
      </c>
      <c r="AQ50" s="131">
        <f t="shared" si="16"/>
        <v>6016.1966284735945</v>
      </c>
      <c r="AR50" s="133">
        <f t="shared" si="35"/>
        <v>0.641241556896326</v>
      </c>
      <c r="AS50" s="136">
        <f t="shared" si="36"/>
        <v>30</v>
      </c>
      <c r="AT50" s="131">
        <f t="shared" si="17"/>
        <v>25557354.239999998</v>
      </c>
      <c r="AU50" s="131">
        <f t="shared" si="18"/>
        <v>3365.91</v>
      </c>
      <c r="AV50" s="136">
        <f t="shared" si="37"/>
        <v>49</v>
      </c>
      <c r="AW50" s="133">
        <f t="shared" si="38"/>
        <v>0.35875844310367411</v>
      </c>
      <c r="AX50" s="135">
        <f t="shared" si="39"/>
        <v>71238335.239999995</v>
      </c>
      <c r="AY50" s="135">
        <f t="shared" si="19"/>
        <v>9382.106577110495</v>
      </c>
      <c r="AZ50" s="136">
        <f t="shared" si="40"/>
        <v>49</v>
      </c>
    </row>
    <row r="51" spans="1:52" ht="15.6" customHeight="1" x14ac:dyDescent="0.2">
      <c r="A51" s="138">
        <v>45</v>
      </c>
      <c r="B51" s="139" t="s">
        <v>175</v>
      </c>
      <c r="C51" s="140">
        <f>'8_2.1.21 SIS'!AV51</f>
        <v>9349</v>
      </c>
      <c r="D51" s="141">
        <v>5430</v>
      </c>
      <c r="E51" s="141">
        <f t="shared" si="20"/>
        <v>1194.5999999999999</v>
      </c>
      <c r="F51" s="142">
        <v>4505</v>
      </c>
      <c r="G51" s="141">
        <f t="shared" si="21"/>
        <v>270.3</v>
      </c>
      <c r="H51" s="141">
        <v>1101</v>
      </c>
      <c r="I51" s="141">
        <f t="shared" si="22"/>
        <v>1651.5</v>
      </c>
      <c r="J51" s="141">
        <v>746</v>
      </c>
      <c r="K51" s="141">
        <f t="shared" si="23"/>
        <v>447.59999999999997</v>
      </c>
      <c r="L51" s="141">
        <f t="shared" si="1"/>
        <v>0</v>
      </c>
      <c r="M51" s="143">
        <f t="shared" si="2"/>
        <v>0</v>
      </c>
      <c r="N51" s="141">
        <f t="shared" si="3"/>
        <v>0</v>
      </c>
      <c r="O51" s="141">
        <f t="shared" si="24"/>
        <v>3563.9999999999995</v>
      </c>
      <c r="P51" s="144">
        <f t="shared" si="4"/>
        <v>12913</v>
      </c>
      <c r="Q51" s="145">
        <f t="shared" si="25"/>
        <v>4015</v>
      </c>
      <c r="R51" s="145">
        <f t="shared" si="5"/>
        <v>51845695</v>
      </c>
      <c r="S51" s="145">
        <f>'6_Local Deduct Calc'!J51</f>
        <v>35505467</v>
      </c>
      <c r="T51" s="145">
        <f t="shared" si="26"/>
        <v>35505467</v>
      </c>
      <c r="U51" s="146">
        <f t="shared" si="27"/>
        <v>16340228</v>
      </c>
      <c r="V51" s="147">
        <f t="shared" si="41"/>
        <v>0.31519999999999998</v>
      </c>
      <c r="W51" s="148">
        <f t="shared" si="28"/>
        <v>0.68479999999999996</v>
      </c>
      <c r="X51" s="149">
        <f t="shared" si="6"/>
        <v>3797.7823296609263</v>
      </c>
      <c r="Y51" s="145">
        <f>'7_Local Revenue'!AS51</f>
        <v>140736235</v>
      </c>
      <c r="Z51" s="145">
        <f t="shared" si="29"/>
        <v>105230768</v>
      </c>
      <c r="AA51" s="150">
        <f t="shared" si="30"/>
        <v>0</v>
      </c>
      <c r="AB51" s="150">
        <f t="shared" si="7"/>
        <v>17627536.300000001</v>
      </c>
      <c r="AC51" s="150">
        <f t="shared" si="8"/>
        <v>17627536.300000001</v>
      </c>
      <c r="AD51" s="145">
        <f t="shared" si="9"/>
        <v>20762699.396172803</v>
      </c>
      <c r="AE51" s="151">
        <f t="shared" si="31"/>
        <v>0</v>
      </c>
      <c r="AF51" s="150">
        <f t="shared" si="10"/>
        <v>0</v>
      </c>
      <c r="AG51" s="152">
        <f t="shared" si="32"/>
        <v>0</v>
      </c>
      <c r="AH51" s="151">
        <f t="shared" si="11"/>
        <v>16340228</v>
      </c>
      <c r="AI51" s="150">
        <f t="shared" si="12"/>
        <v>1748</v>
      </c>
      <c r="AJ51" s="151">
        <f>'3A_Level 3'!J51</f>
        <v>3818582</v>
      </c>
      <c r="AK51" s="150">
        <f t="shared" si="13"/>
        <v>408.44817627553749</v>
      </c>
      <c r="AL51" s="151">
        <f t="shared" si="33"/>
        <v>20158810</v>
      </c>
      <c r="AM51" s="150">
        <f t="shared" si="14"/>
        <v>2156.2530751952081</v>
      </c>
      <c r="AN51" s="153">
        <f>'3A_Level 3'!K51</f>
        <v>10867354</v>
      </c>
      <c r="AO51" s="154">
        <f t="shared" si="15"/>
        <v>1162.408171997005</v>
      </c>
      <c r="AP51" s="151">
        <f t="shared" si="34"/>
        <v>27207582</v>
      </c>
      <c r="AQ51" s="150">
        <f t="shared" si="16"/>
        <v>2910.2130709166754</v>
      </c>
      <c r="AR51" s="152">
        <f t="shared" si="35"/>
        <v>0.33865302198638575</v>
      </c>
      <c r="AS51" s="155">
        <f t="shared" si="36"/>
        <v>64</v>
      </c>
      <c r="AT51" s="150">
        <f t="shared" si="17"/>
        <v>53133003.299999997</v>
      </c>
      <c r="AU51" s="150">
        <f t="shared" si="18"/>
        <v>5683.28</v>
      </c>
      <c r="AV51" s="155">
        <f t="shared" si="37"/>
        <v>8</v>
      </c>
      <c r="AW51" s="152">
        <f t="shared" si="38"/>
        <v>0.6613469780136142</v>
      </c>
      <c r="AX51" s="154">
        <f t="shared" si="39"/>
        <v>80340585.299999997</v>
      </c>
      <c r="AY51" s="154">
        <f t="shared" si="19"/>
        <v>8593.4950582950041</v>
      </c>
      <c r="AZ51" s="155">
        <f t="shared" si="40"/>
        <v>67</v>
      </c>
    </row>
    <row r="52" spans="1:52" ht="15.6" customHeight="1" x14ac:dyDescent="0.2">
      <c r="A52" s="121">
        <v>46</v>
      </c>
      <c r="B52" s="122" t="s">
        <v>176</v>
      </c>
      <c r="C52" s="123">
        <f>'8_2.1.21 SIS'!AV52</f>
        <v>1168</v>
      </c>
      <c r="D52" s="123">
        <v>1135</v>
      </c>
      <c r="E52" s="123">
        <f t="shared" si="20"/>
        <v>249.7</v>
      </c>
      <c r="F52" s="124">
        <v>936</v>
      </c>
      <c r="G52" s="123">
        <f t="shared" si="21"/>
        <v>56.16</v>
      </c>
      <c r="H52" s="123">
        <v>214</v>
      </c>
      <c r="I52" s="123">
        <f t="shared" si="22"/>
        <v>321</v>
      </c>
      <c r="J52" s="123">
        <v>76</v>
      </c>
      <c r="K52" s="123">
        <f t="shared" si="23"/>
        <v>45.6</v>
      </c>
      <c r="L52" s="125">
        <f t="shared" si="1"/>
        <v>6332</v>
      </c>
      <c r="M52" s="126">
        <f t="shared" si="2"/>
        <v>0.16885</v>
      </c>
      <c r="N52" s="123">
        <f t="shared" si="3"/>
        <v>197.21680000000001</v>
      </c>
      <c r="O52" s="123">
        <f t="shared" si="24"/>
        <v>869.67680000000007</v>
      </c>
      <c r="P52" s="123">
        <f t="shared" si="4"/>
        <v>2037.6768000000002</v>
      </c>
      <c r="Q52" s="127">
        <f t="shared" si="25"/>
        <v>4015</v>
      </c>
      <c r="R52" s="127">
        <f t="shared" si="5"/>
        <v>8181272</v>
      </c>
      <c r="S52" s="127">
        <f>'6_Local Deduct Calc'!J52</f>
        <v>1277436</v>
      </c>
      <c r="T52" s="127">
        <f t="shared" si="26"/>
        <v>1277436</v>
      </c>
      <c r="U52" s="128">
        <f t="shared" si="27"/>
        <v>6903836</v>
      </c>
      <c r="V52" s="129">
        <f t="shared" si="41"/>
        <v>0.84389999999999998</v>
      </c>
      <c r="W52" s="129">
        <f t="shared" si="28"/>
        <v>0.15609999999999999</v>
      </c>
      <c r="X52" s="130">
        <f t="shared" si="6"/>
        <v>1093.6952054794519</v>
      </c>
      <c r="Y52" s="127">
        <f>'7_Local Revenue'!AS52</f>
        <v>3710118</v>
      </c>
      <c r="Z52" s="127">
        <f t="shared" si="29"/>
        <v>2432682</v>
      </c>
      <c r="AA52" s="131">
        <f t="shared" si="30"/>
        <v>0</v>
      </c>
      <c r="AB52" s="131">
        <f t="shared" si="7"/>
        <v>2781632.48</v>
      </c>
      <c r="AC52" s="131">
        <f t="shared" si="8"/>
        <v>2432682</v>
      </c>
      <c r="AD52" s="127">
        <f t="shared" si="9"/>
        <v>653155.65554399986</v>
      </c>
      <c r="AE52" s="132">
        <f t="shared" si="31"/>
        <v>1779526</v>
      </c>
      <c r="AF52" s="131">
        <f t="shared" si="10"/>
        <v>1524</v>
      </c>
      <c r="AG52" s="133">
        <f t="shared" si="32"/>
        <v>0.73150000000000004</v>
      </c>
      <c r="AH52" s="132">
        <f t="shared" si="11"/>
        <v>8683362</v>
      </c>
      <c r="AI52" s="131">
        <f t="shared" si="12"/>
        <v>7434</v>
      </c>
      <c r="AJ52" s="132">
        <f>'3A_Level 3'!J52</f>
        <v>200145</v>
      </c>
      <c r="AK52" s="131">
        <f t="shared" si="13"/>
        <v>171.35702054794521</v>
      </c>
      <c r="AL52" s="132">
        <f t="shared" si="33"/>
        <v>8883507</v>
      </c>
      <c r="AM52" s="131">
        <f t="shared" si="14"/>
        <v>7605.7422945205481</v>
      </c>
      <c r="AN52" s="134">
        <f>'3A_Level 3'!K52</f>
        <v>1050519</v>
      </c>
      <c r="AO52" s="135">
        <f t="shared" si="15"/>
        <v>899.41695205479448</v>
      </c>
      <c r="AP52" s="132">
        <f t="shared" si="34"/>
        <v>9733881</v>
      </c>
      <c r="AQ52" s="131">
        <f t="shared" si="16"/>
        <v>8333.8022260273974</v>
      </c>
      <c r="AR52" s="133">
        <f t="shared" si="35"/>
        <v>0.72403166647066841</v>
      </c>
      <c r="AS52" s="136">
        <f t="shared" si="36"/>
        <v>4</v>
      </c>
      <c r="AT52" s="131">
        <f t="shared" si="17"/>
        <v>3710118</v>
      </c>
      <c r="AU52" s="131">
        <f t="shared" si="18"/>
        <v>3176.47</v>
      </c>
      <c r="AV52" s="136">
        <f t="shared" si="37"/>
        <v>53</v>
      </c>
      <c r="AW52" s="133">
        <f t="shared" si="38"/>
        <v>0.27596833352933159</v>
      </c>
      <c r="AX52" s="135">
        <f t="shared" si="39"/>
        <v>13443999</v>
      </c>
      <c r="AY52" s="135">
        <f t="shared" si="19"/>
        <v>11510.273116438357</v>
      </c>
      <c r="AZ52" s="136">
        <f t="shared" si="40"/>
        <v>2</v>
      </c>
    </row>
    <row r="53" spans="1:52" ht="15.6" customHeight="1" x14ac:dyDescent="0.2">
      <c r="A53" s="121">
        <v>47</v>
      </c>
      <c r="B53" s="122" t="s">
        <v>177</v>
      </c>
      <c r="C53" s="137">
        <f>'8_2.1.21 SIS'!AV53</f>
        <v>3361</v>
      </c>
      <c r="D53" s="123">
        <v>2060</v>
      </c>
      <c r="E53" s="123">
        <f t="shared" si="20"/>
        <v>453.2</v>
      </c>
      <c r="F53" s="124">
        <v>1886</v>
      </c>
      <c r="G53" s="123">
        <f t="shared" si="21"/>
        <v>113.16</v>
      </c>
      <c r="H53" s="123">
        <v>539</v>
      </c>
      <c r="I53" s="123">
        <f t="shared" si="22"/>
        <v>808.5</v>
      </c>
      <c r="J53" s="123">
        <v>108</v>
      </c>
      <c r="K53" s="123">
        <f t="shared" si="23"/>
        <v>64.8</v>
      </c>
      <c r="L53" s="123">
        <f t="shared" si="1"/>
        <v>4139</v>
      </c>
      <c r="M53" s="126">
        <f t="shared" si="2"/>
        <v>0.11037</v>
      </c>
      <c r="N53" s="123">
        <f t="shared" si="3"/>
        <v>370.95357000000001</v>
      </c>
      <c r="O53" s="123">
        <f t="shared" si="24"/>
        <v>1810.61357</v>
      </c>
      <c r="P53" s="123">
        <f t="shared" si="4"/>
        <v>5171.6135699999995</v>
      </c>
      <c r="Q53" s="127">
        <f t="shared" si="25"/>
        <v>4015</v>
      </c>
      <c r="R53" s="127">
        <f t="shared" si="5"/>
        <v>20764028</v>
      </c>
      <c r="S53" s="127">
        <f>'6_Local Deduct Calc'!J53</f>
        <v>16205117</v>
      </c>
      <c r="T53" s="127">
        <f t="shared" si="26"/>
        <v>15573021</v>
      </c>
      <c r="U53" s="128">
        <f t="shared" si="27"/>
        <v>5191007</v>
      </c>
      <c r="V53" s="129">
        <f t="shared" si="41"/>
        <v>0.25</v>
      </c>
      <c r="W53" s="129">
        <f t="shared" si="28"/>
        <v>0.75</v>
      </c>
      <c r="X53" s="130">
        <f t="shared" si="6"/>
        <v>4633.4486759892889</v>
      </c>
      <c r="Y53" s="127">
        <f>'7_Local Revenue'!AS53</f>
        <v>54005919</v>
      </c>
      <c r="Z53" s="127">
        <f t="shared" si="29"/>
        <v>38432898</v>
      </c>
      <c r="AA53" s="131">
        <f t="shared" si="30"/>
        <v>0</v>
      </c>
      <c r="AB53" s="131">
        <f t="shared" si="7"/>
        <v>7059769.5200000005</v>
      </c>
      <c r="AC53" s="131">
        <f t="shared" si="8"/>
        <v>7059769.5200000005</v>
      </c>
      <c r="AD53" s="127">
        <f t="shared" si="9"/>
        <v>9107102.6808000002</v>
      </c>
      <c r="AE53" s="132">
        <f t="shared" si="31"/>
        <v>0</v>
      </c>
      <c r="AF53" s="131">
        <f t="shared" si="10"/>
        <v>0</v>
      </c>
      <c r="AG53" s="133">
        <f t="shared" si="32"/>
        <v>0</v>
      </c>
      <c r="AH53" s="132">
        <f t="shared" si="11"/>
        <v>5191007</v>
      </c>
      <c r="AI53" s="131">
        <f t="shared" si="12"/>
        <v>1544</v>
      </c>
      <c r="AJ53" s="132">
        <f>'3A_Level 3'!J53</f>
        <v>1396714</v>
      </c>
      <c r="AK53" s="131">
        <f t="shared" si="13"/>
        <v>415.56501041356739</v>
      </c>
      <c r="AL53" s="132">
        <f t="shared" si="33"/>
        <v>6587721</v>
      </c>
      <c r="AM53" s="131">
        <f t="shared" si="14"/>
        <v>1960.0479024099971</v>
      </c>
      <c r="AN53" s="134">
        <f>'3A_Level 3'!K53</f>
        <v>4457778</v>
      </c>
      <c r="AO53" s="135">
        <f t="shared" si="15"/>
        <v>1326.3249033025886</v>
      </c>
      <c r="AP53" s="132">
        <f t="shared" si="34"/>
        <v>9648785</v>
      </c>
      <c r="AQ53" s="131">
        <f t="shared" si="16"/>
        <v>2870.8077952990179</v>
      </c>
      <c r="AR53" s="133">
        <f t="shared" si="35"/>
        <v>0.29889448840630811</v>
      </c>
      <c r="AS53" s="136">
        <f t="shared" si="36"/>
        <v>67</v>
      </c>
      <c r="AT53" s="131">
        <f t="shared" si="17"/>
        <v>22632790.52</v>
      </c>
      <c r="AU53" s="131">
        <f t="shared" si="18"/>
        <v>6733.95</v>
      </c>
      <c r="AV53" s="136">
        <f t="shared" si="37"/>
        <v>3</v>
      </c>
      <c r="AW53" s="133">
        <f t="shared" si="38"/>
        <v>0.70110551159369183</v>
      </c>
      <c r="AX53" s="135">
        <f t="shared" si="39"/>
        <v>32281575.52</v>
      </c>
      <c r="AY53" s="135">
        <f t="shared" si="19"/>
        <v>9604.7532044034506</v>
      </c>
      <c r="AZ53" s="136">
        <f t="shared" si="40"/>
        <v>38</v>
      </c>
    </row>
    <row r="54" spans="1:52" ht="15.6" customHeight="1" x14ac:dyDescent="0.2">
      <c r="A54" s="121">
        <v>48</v>
      </c>
      <c r="B54" s="122" t="s">
        <v>178</v>
      </c>
      <c r="C54" s="137">
        <f>'8_2.1.21 SIS'!AV54</f>
        <v>5535</v>
      </c>
      <c r="D54" s="123">
        <v>4538</v>
      </c>
      <c r="E54" s="123">
        <f t="shared" si="20"/>
        <v>998.36</v>
      </c>
      <c r="F54" s="124">
        <v>3169</v>
      </c>
      <c r="G54" s="123">
        <f t="shared" si="21"/>
        <v>190.14</v>
      </c>
      <c r="H54" s="123">
        <v>813</v>
      </c>
      <c r="I54" s="123">
        <f t="shared" si="22"/>
        <v>1219.5</v>
      </c>
      <c r="J54" s="123">
        <v>138</v>
      </c>
      <c r="K54" s="123">
        <f t="shared" si="23"/>
        <v>82.8</v>
      </c>
      <c r="L54" s="123">
        <f t="shared" si="1"/>
        <v>1965</v>
      </c>
      <c r="M54" s="126">
        <f t="shared" si="2"/>
        <v>5.2400000000000002E-2</v>
      </c>
      <c r="N54" s="123">
        <f t="shared" si="3"/>
        <v>290.03399999999999</v>
      </c>
      <c r="O54" s="123">
        <f t="shared" si="24"/>
        <v>2780.8340000000003</v>
      </c>
      <c r="P54" s="123">
        <f t="shared" si="4"/>
        <v>8315.8340000000007</v>
      </c>
      <c r="Q54" s="127">
        <f t="shared" si="25"/>
        <v>4015</v>
      </c>
      <c r="R54" s="127">
        <f t="shared" si="5"/>
        <v>33388074</v>
      </c>
      <c r="S54" s="127">
        <f>'6_Local Deduct Calc'!J54</f>
        <v>14891037</v>
      </c>
      <c r="T54" s="127">
        <f t="shared" si="26"/>
        <v>14891037</v>
      </c>
      <c r="U54" s="128">
        <f t="shared" si="27"/>
        <v>18497037</v>
      </c>
      <c r="V54" s="129">
        <f t="shared" si="41"/>
        <v>0.55400000000000005</v>
      </c>
      <c r="W54" s="129">
        <f t="shared" si="28"/>
        <v>0.44600000000000001</v>
      </c>
      <c r="X54" s="130">
        <f t="shared" si="6"/>
        <v>2690.3409214092139</v>
      </c>
      <c r="Y54" s="127">
        <f>'7_Local Revenue'!AS54</f>
        <v>48379646</v>
      </c>
      <c r="Z54" s="127">
        <f t="shared" si="29"/>
        <v>33488609</v>
      </c>
      <c r="AA54" s="131">
        <f t="shared" si="30"/>
        <v>0</v>
      </c>
      <c r="AB54" s="131">
        <f t="shared" si="7"/>
        <v>11351945.16</v>
      </c>
      <c r="AC54" s="131">
        <f t="shared" si="8"/>
        <v>11351945.16</v>
      </c>
      <c r="AD54" s="127">
        <f t="shared" si="9"/>
        <v>8708304.1711392011</v>
      </c>
      <c r="AE54" s="132">
        <f t="shared" si="31"/>
        <v>2643641</v>
      </c>
      <c r="AF54" s="131">
        <f t="shared" si="10"/>
        <v>478</v>
      </c>
      <c r="AG54" s="133">
        <f t="shared" si="32"/>
        <v>0.2329</v>
      </c>
      <c r="AH54" s="132">
        <f t="shared" si="11"/>
        <v>21140678</v>
      </c>
      <c r="AI54" s="131">
        <f t="shared" si="12"/>
        <v>3819</v>
      </c>
      <c r="AJ54" s="132">
        <f>'3A_Level 3'!J54</f>
        <v>948463</v>
      </c>
      <c r="AK54" s="131">
        <f t="shared" si="13"/>
        <v>171.35736224028906</v>
      </c>
      <c r="AL54" s="132">
        <f t="shared" si="33"/>
        <v>22089141</v>
      </c>
      <c r="AM54" s="131">
        <f t="shared" si="14"/>
        <v>3990.8113821138213</v>
      </c>
      <c r="AN54" s="134">
        <f>'3A_Level 3'!K54</f>
        <v>5769835</v>
      </c>
      <c r="AO54" s="135">
        <f t="shared" si="15"/>
        <v>1042.4272809394761</v>
      </c>
      <c r="AP54" s="132">
        <f t="shared" si="34"/>
        <v>26910513</v>
      </c>
      <c r="AQ54" s="131">
        <f t="shared" si="16"/>
        <v>4861.8813008130082</v>
      </c>
      <c r="AR54" s="133">
        <f t="shared" si="35"/>
        <v>0.50627927512565862</v>
      </c>
      <c r="AS54" s="136">
        <f t="shared" si="36"/>
        <v>55</v>
      </c>
      <c r="AT54" s="131">
        <f t="shared" si="17"/>
        <v>26242982.16</v>
      </c>
      <c r="AU54" s="131">
        <f t="shared" si="18"/>
        <v>4741.28</v>
      </c>
      <c r="AV54" s="136">
        <f t="shared" si="37"/>
        <v>13</v>
      </c>
      <c r="AW54" s="133">
        <f t="shared" si="38"/>
        <v>0.49372072487434149</v>
      </c>
      <c r="AX54" s="135">
        <f t="shared" si="39"/>
        <v>53153495.159999996</v>
      </c>
      <c r="AY54" s="135">
        <f t="shared" si="19"/>
        <v>9603.1608238482386</v>
      </c>
      <c r="AZ54" s="136">
        <f t="shared" si="40"/>
        <v>40</v>
      </c>
    </row>
    <row r="55" spans="1:52" ht="15.6" customHeight="1" x14ac:dyDescent="0.2">
      <c r="A55" s="121">
        <v>49</v>
      </c>
      <c r="B55" s="122" t="s">
        <v>179</v>
      </c>
      <c r="C55" s="137">
        <f>'8_2.1.21 SIS'!AV55</f>
        <v>12755</v>
      </c>
      <c r="D55" s="123">
        <v>10672</v>
      </c>
      <c r="E55" s="123">
        <f t="shared" si="20"/>
        <v>2347.84</v>
      </c>
      <c r="F55" s="124">
        <v>8553</v>
      </c>
      <c r="G55" s="123">
        <f t="shared" si="21"/>
        <v>513.17999999999995</v>
      </c>
      <c r="H55" s="123">
        <v>1919</v>
      </c>
      <c r="I55" s="123">
        <f t="shared" si="22"/>
        <v>2878.5</v>
      </c>
      <c r="J55" s="123">
        <v>238</v>
      </c>
      <c r="K55" s="123">
        <f t="shared" si="23"/>
        <v>142.79999999999998</v>
      </c>
      <c r="L55" s="123">
        <f t="shared" si="1"/>
        <v>0</v>
      </c>
      <c r="M55" s="126">
        <f t="shared" si="2"/>
        <v>0</v>
      </c>
      <c r="N55" s="123">
        <f t="shared" si="3"/>
        <v>0</v>
      </c>
      <c r="O55" s="123">
        <f t="shared" si="24"/>
        <v>5882.3200000000006</v>
      </c>
      <c r="P55" s="123">
        <f t="shared" si="4"/>
        <v>18637.32</v>
      </c>
      <c r="Q55" s="127">
        <f t="shared" si="25"/>
        <v>4015</v>
      </c>
      <c r="R55" s="127">
        <f t="shared" si="5"/>
        <v>74828840</v>
      </c>
      <c r="S55" s="127">
        <f>'6_Local Deduct Calc'!J55</f>
        <v>18813423</v>
      </c>
      <c r="T55" s="127">
        <f t="shared" si="26"/>
        <v>18813423</v>
      </c>
      <c r="U55" s="128">
        <f t="shared" si="27"/>
        <v>56015417</v>
      </c>
      <c r="V55" s="129">
        <f t="shared" si="41"/>
        <v>0.74860000000000004</v>
      </c>
      <c r="W55" s="129">
        <f t="shared" si="28"/>
        <v>0.25140000000000001</v>
      </c>
      <c r="X55" s="130">
        <f t="shared" si="6"/>
        <v>1474.9841630733047</v>
      </c>
      <c r="Y55" s="127">
        <f>'7_Local Revenue'!AS55</f>
        <v>38615761</v>
      </c>
      <c r="Z55" s="127">
        <f t="shared" si="29"/>
        <v>19802338</v>
      </c>
      <c r="AA55" s="131">
        <f t="shared" si="30"/>
        <v>0</v>
      </c>
      <c r="AB55" s="131">
        <f t="shared" si="7"/>
        <v>25441805.600000001</v>
      </c>
      <c r="AC55" s="131">
        <f t="shared" si="8"/>
        <v>19802338</v>
      </c>
      <c r="AD55" s="127">
        <f t="shared" si="9"/>
        <v>8562689.3699040003</v>
      </c>
      <c r="AE55" s="132">
        <f t="shared" si="31"/>
        <v>11239649</v>
      </c>
      <c r="AF55" s="131">
        <f t="shared" si="10"/>
        <v>881</v>
      </c>
      <c r="AG55" s="133">
        <f t="shared" si="32"/>
        <v>0.56759999999999999</v>
      </c>
      <c r="AH55" s="132">
        <f t="shared" si="11"/>
        <v>67255066</v>
      </c>
      <c r="AI55" s="131">
        <f t="shared" si="12"/>
        <v>5273</v>
      </c>
      <c r="AJ55" s="132">
        <f>'3A_Level 3'!J55</f>
        <v>2185662</v>
      </c>
      <c r="AK55" s="131">
        <f t="shared" si="13"/>
        <v>171.35727165817326</v>
      </c>
      <c r="AL55" s="132">
        <f t="shared" si="33"/>
        <v>69440728</v>
      </c>
      <c r="AM55" s="131">
        <f t="shared" si="14"/>
        <v>5444.1966287730302</v>
      </c>
      <c r="AN55" s="134">
        <f>'3A_Level 3'!K55</f>
        <v>9512644</v>
      </c>
      <c r="AO55" s="135">
        <f t="shared" si="15"/>
        <v>745.79725597804782</v>
      </c>
      <c r="AP55" s="132">
        <f t="shared" si="34"/>
        <v>76767710</v>
      </c>
      <c r="AQ55" s="131">
        <f t="shared" si="16"/>
        <v>6018.6366130929046</v>
      </c>
      <c r="AR55" s="133">
        <f t="shared" si="35"/>
        <v>0.66532675204406011</v>
      </c>
      <c r="AS55" s="136">
        <f t="shared" si="36"/>
        <v>25</v>
      </c>
      <c r="AT55" s="131">
        <f t="shared" si="17"/>
        <v>38615761</v>
      </c>
      <c r="AU55" s="131">
        <f t="shared" si="18"/>
        <v>3027.5</v>
      </c>
      <c r="AV55" s="136">
        <f t="shared" si="37"/>
        <v>56</v>
      </c>
      <c r="AW55" s="133">
        <f t="shared" si="38"/>
        <v>0.33467324795593989</v>
      </c>
      <c r="AX55" s="135">
        <f t="shared" si="39"/>
        <v>115383471</v>
      </c>
      <c r="AY55" s="135">
        <f t="shared" si="19"/>
        <v>9046.1364954919645</v>
      </c>
      <c r="AZ55" s="136">
        <f t="shared" si="40"/>
        <v>59</v>
      </c>
    </row>
    <row r="56" spans="1:52" ht="15.6" customHeight="1" x14ac:dyDescent="0.2">
      <c r="A56" s="138">
        <v>50</v>
      </c>
      <c r="B56" s="139" t="s">
        <v>180</v>
      </c>
      <c r="C56" s="140">
        <f>'8_2.1.21 SIS'!AV56</f>
        <v>7316</v>
      </c>
      <c r="D56" s="141">
        <v>5548</v>
      </c>
      <c r="E56" s="141">
        <f t="shared" si="20"/>
        <v>1220.56</v>
      </c>
      <c r="F56" s="142">
        <v>4120</v>
      </c>
      <c r="G56" s="141">
        <f t="shared" si="21"/>
        <v>247.2</v>
      </c>
      <c r="H56" s="141">
        <v>818</v>
      </c>
      <c r="I56" s="141">
        <f t="shared" si="22"/>
        <v>1227</v>
      </c>
      <c r="J56" s="141">
        <v>297</v>
      </c>
      <c r="K56" s="141">
        <f t="shared" si="23"/>
        <v>178.2</v>
      </c>
      <c r="L56" s="141">
        <f t="shared" si="1"/>
        <v>184</v>
      </c>
      <c r="M56" s="143">
        <f t="shared" si="2"/>
        <v>4.9100000000000003E-3</v>
      </c>
      <c r="N56" s="141">
        <f t="shared" si="3"/>
        <v>35.921559999999999</v>
      </c>
      <c r="O56" s="141">
        <f t="shared" si="24"/>
        <v>2908.8815599999998</v>
      </c>
      <c r="P56" s="144">
        <f t="shared" si="4"/>
        <v>10224.88156</v>
      </c>
      <c r="Q56" s="145">
        <f t="shared" si="25"/>
        <v>4015</v>
      </c>
      <c r="R56" s="145">
        <f t="shared" si="5"/>
        <v>41052899</v>
      </c>
      <c r="S56" s="145">
        <f>'6_Local Deduct Calc'!J56</f>
        <v>11270119</v>
      </c>
      <c r="T56" s="145">
        <f t="shared" si="26"/>
        <v>11270119</v>
      </c>
      <c r="U56" s="146">
        <f t="shared" si="27"/>
        <v>29782780</v>
      </c>
      <c r="V56" s="147">
        <f t="shared" si="41"/>
        <v>0.72550000000000003</v>
      </c>
      <c r="W56" s="148">
        <f t="shared" si="28"/>
        <v>0.27450000000000002</v>
      </c>
      <c r="X56" s="149">
        <f t="shared" si="6"/>
        <v>1540.4755330781848</v>
      </c>
      <c r="Y56" s="145">
        <f>'7_Local Revenue'!AS56</f>
        <v>28600260</v>
      </c>
      <c r="Z56" s="145">
        <f t="shared" si="29"/>
        <v>17330141</v>
      </c>
      <c r="AA56" s="150">
        <f t="shared" si="30"/>
        <v>0</v>
      </c>
      <c r="AB56" s="150">
        <f t="shared" si="7"/>
        <v>13957985.66</v>
      </c>
      <c r="AC56" s="150">
        <f t="shared" si="8"/>
        <v>13957985.66</v>
      </c>
      <c r="AD56" s="145">
        <f t="shared" si="9"/>
        <v>6590123.3495124001</v>
      </c>
      <c r="AE56" s="151">
        <f t="shared" si="31"/>
        <v>7367862</v>
      </c>
      <c r="AF56" s="150">
        <f t="shared" si="10"/>
        <v>1007</v>
      </c>
      <c r="AG56" s="152">
        <f t="shared" si="32"/>
        <v>0.52790000000000004</v>
      </c>
      <c r="AH56" s="151">
        <f t="shared" si="11"/>
        <v>37150642</v>
      </c>
      <c r="AI56" s="150">
        <f t="shared" si="12"/>
        <v>5078</v>
      </c>
      <c r="AJ56" s="151">
        <f>'3A_Level 3'!J56</f>
        <v>1253650</v>
      </c>
      <c r="AK56" s="150">
        <f t="shared" si="13"/>
        <v>171.35729907053033</v>
      </c>
      <c r="AL56" s="151">
        <f t="shared" si="33"/>
        <v>38404292</v>
      </c>
      <c r="AM56" s="150">
        <f t="shared" si="14"/>
        <v>5249.3564789502461</v>
      </c>
      <c r="AN56" s="153">
        <f>'3A_Level 3'!K56</f>
        <v>5895359</v>
      </c>
      <c r="AO56" s="154">
        <f t="shared" si="15"/>
        <v>805.81724986331324</v>
      </c>
      <c r="AP56" s="151">
        <f t="shared" si="34"/>
        <v>43046001</v>
      </c>
      <c r="AQ56" s="150">
        <f t="shared" si="16"/>
        <v>5883.8164297430294</v>
      </c>
      <c r="AR56" s="152">
        <f t="shared" si="35"/>
        <v>0.6304879512353615</v>
      </c>
      <c r="AS56" s="155">
        <f t="shared" si="36"/>
        <v>35</v>
      </c>
      <c r="AT56" s="150">
        <f t="shared" si="17"/>
        <v>25228104.66</v>
      </c>
      <c r="AU56" s="150">
        <f t="shared" si="18"/>
        <v>3448.35</v>
      </c>
      <c r="AV56" s="155">
        <f t="shared" si="37"/>
        <v>45</v>
      </c>
      <c r="AW56" s="152">
        <f t="shared" si="38"/>
        <v>0.3695120487646385</v>
      </c>
      <c r="AX56" s="154">
        <f t="shared" si="39"/>
        <v>68274105.659999996</v>
      </c>
      <c r="AY56" s="154">
        <f t="shared" si="19"/>
        <v>9332.1631574630937</v>
      </c>
      <c r="AZ56" s="155">
        <f t="shared" si="40"/>
        <v>52</v>
      </c>
    </row>
    <row r="57" spans="1:52" ht="15.6" customHeight="1" x14ac:dyDescent="0.2">
      <c r="A57" s="121">
        <v>51</v>
      </c>
      <c r="B57" s="122" t="s">
        <v>181</v>
      </c>
      <c r="C57" s="123">
        <f>'8_2.1.21 SIS'!AV57</f>
        <v>7738</v>
      </c>
      <c r="D57" s="123">
        <v>6047</v>
      </c>
      <c r="E57" s="123">
        <f t="shared" si="20"/>
        <v>1330.34</v>
      </c>
      <c r="F57" s="124">
        <v>5074</v>
      </c>
      <c r="G57" s="123">
        <f t="shared" si="21"/>
        <v>304.44</v>
      </c>
      <c r="H57" s="123">
        <v>1353</v>
      </c>
      <c r="I57" s="123">
        <f t="shared" si="22"/>
        <v>2029.5</v>
      </c>
      <c r="J57" s="123">
        <v>510</v>
      </c>
      <c r="K57" s="123">
        <f t="shared" si="23"/>
        <v>306</v>
      </c>
      <c r="L57" s="125">
        <f t="shared" si="1"/>
        <v>0</v>
      </c>
      <c r="M57" s="126">
        <f t="shared" si="2"/>
        <v>0</v>
      </c>
      <c r="N57" s="123">
        <f t="shared" si="3"/>
        <v>0</v>
      </c>
      <c r="O57" s="123">
        <f t="shared" si="24"/>
        <v>3970.2799999999997</v>
      </c>
      <c r="P57" s="123">
        <f t="shared" si="4"/>
        <v>11708.279999999999</v>
      </c>
      <c r="Q57" s="127">
        <f t="shared" si="25"/>
        <v>4015</v>
      </c>
      <c r="R57" s="127">
        <f t="shared" si="5"/>
        <v>47008744</v>
      </c>
      <c r="S57" s="127">
        <f>'6_Local Deduct Calc'!J57</f>
        <v>15418411</v>
      </c>
      <c r="T57" s="127">
        <f t="shared" si="26"/>
        <v>15418411</v>
      </c>
      <c r="U57" s="128">
        <f t="shared" si="27"/>
        <v>31590333</v>
      </c>
      <c r="V57" s="129">
        <f t="shared" si="41"/>
        <v>0.67200000000000004</v>
      </c>
      <c r="W57" s="129">
        <f t="shared" si="28"/>
        <v>0.32800000000000001</v>
      </c>
      <c r="X57" s="130">
        <f t="shared" si="6"/>
        <v>1992.5576376324632</v>
      </c>
      <c r="Y57" s="127">
        <f>'7_Local Revenue'!AS57</f>
        <v>38411011</v>
      </c>
      <c r="Z57" s="127">
        <f t="shared" si="29"/>
        <v>22992600</v>
      </c>
      <c r="AA57" s="131">
        <f t="shared" si="30"/>
        <v>0</v>
      </c>
      <c r="AB57" s="131">
        <f t="shared" si="7"/>
        <v>15982972.960000001</v>
      </c>
      <c r="AC57" s="131">
        <f t="shared" si="8"/>
        <v>15982972.960000001</v>
      </c>
      <c r="AD57" s="127">
        <f t="shared" si="9"/>
        <v>9016954.0251136012</v>
      </c>
      <c r="AE57" s="132">
        <f t="shared" si="31"/>
        <v>6966019</v>
      </c>
      <c r="AF57" s="131">
        <f t="shared" si="10"/>
        <v>900</v>
      </c>
      <c r="AG57" s="133">
        <f t="shared" si="32"/>
        <v>0.43580000000000002</v>
      </c>
      <c r="AH57" s="132">
        <f t="shared" si="11"/>
        <v>38556352</v>
      </c>
      <c r="AI57" s="131">
        <f t="shared" si="12"/>
        <v>4983</v>
      </c>
      <c r="AJ57" s="132">
        <f>'3A_Level 3'!J57</f>
        <v>1325963</v>
      </c>
      <c r="AK57" s="131">
        <f t="shared" si="13"/>
        <v>171.35732747479969</v>
      </c>
      <c r="AL57" s="132">
        <f t="shared" si="33"/>
        <v>39882315</v>
      </c>
      <c r="AM57" s="131">
        <f t="shared" si="14"/>
        <v>5154.0856810545365</v>
      </c>
      <c r="AN57" s="134">
        <f>'3A_Level 3'!K57</f>
        <v>6794098</v>
      </c>
      <c r="AO57" s="135">
        <f t="shared" si="15"/>
        <v>878.01731713621086</v>
      </c>
      <c r="AP57" s="132">
        <f t="shared" si="34"/>
        <v>45350450</v>
      </c>
      <c r="AQ57" s="131">
        <f t="shared" si="16"/>
        <v>5860.7456707159472</v>
      </c>
      <c r="AR57" s="133">
        <f t="shared" si="35"/>
        <v>0.59087122300732053</v>
      </c>
      <c r="AS57" s="136">
        <f t="shared" si="36"/>
        <v>46</v>
      </c>
      <c r="AT57" s="131">
        <f t="shared" si="17"/>
        <v>31401383.960000001</v>
      </c>
      <c r="AU57" s="131">
        <f t="shared" si="18"/>
        <v>4058.07</v>
      </c>
      <c r="AV57" s="136">
        <f t="shared" si="37"/>
        <v>27</v>
      </c>
      <c r="AW57" s="133">
        <f t="shared" si="38"/>
        <v>0.40912877699267941</v>
      </c>
      <c r="AX57" s="135">
        <f t="shared" si="39"/>
        <v>76751833.960000008</v>
      </c>
      <c r="AY57" s="135">
        <f t="shared" si="19"/>
        <v>9918.8206203153277</v>
      </c>
      <c r="AZ57" s="136">
        <f t="shared" si="40"/>
        <v>27</v>
      </c>
    </row>
    <row r="58" spans="1:52" ht="15.6" customHeight="1" x14ac:dyDescent="0.2">
      <c r="A58" s="121">
        <v>52</v>
      </c>
      <c r="B58" s="122" t="s">
        <v>182</v>
      </c>
      <c r="C58" s="137">
        <f>'8_2.1.21 SIS'!AV58</f>
        <v>37085</v>
      </c>
      <c r="D58" s="123">
        <v>19936</v>
      </c>
      <c r="E58" s="123">
        <f t="shared" si="20"/>
        <v>4385.92</v>
      </c>
      <c r="F58" s="124">
        <v>14395.5</v>
      </c>
      <c r="G58" s="123">
        <f t="shared" si="21"/>
        <v>863.73</v>
      </c>
      <c r="H58" s="123">
        <v>7065</v>
      </c>
      <c r="I58" s="123">
        <f t="shared" si="22"/>
        <v>10597.5</v>
      </c>
      <c r="J58" s="123">
        <v>2430</v>
      </c>
      <c r="K58" s="123">
        <f t="shared" si="23"/>
        <v>1458</v>
      </c>
      <c r="L58" s="123">
        <f t="shared" si="1"/>
        <v>0</v>
      </c>
      <c r="M58" s="126">
        <f t="shared" si="2"/>
        <v>0</v>
      </c>
      <c r="N58" s="123">
        <f t="shared" si="3"/>
        <v>0</v>
      </c>
      <c r="O58" s="123">
        <f t="shared" si="24"/>
        <v>17305.150000000001</v>
      </c>
      <c r="P58" s="123">
        <f t="shared" si="4"/>
        <v>54390.15</v>
      </c>
      <c r="Q58" s="127">
        <f t="shared" si="25"/>
        <v>4015</v>
      </c>
      <c r="R58" s="127">
        <f t="shared" si="5"/>
        <v>218376452</v>
      </c>
      <c r="S58" s="127">
        <f>'6_Local Deduct Calc'!J58</f>
        <v>69564410</v>
      </c>
      <c r="T58" s="127">
        <f t="shared" si="26"/>
        <v>69564410</v>
      </c>
      <c r="U58" s="128">
        <f t="shared" si="27"/>
        <v>148812042</v>
      </c>
      <c r="V58" s="129">
        <f t="shared" si="41"/>
        <v>0.68140000000000001</v>
      </c>
      <c r="W58" s="129">
        <f t="shared" si="28"/>
        <v>0.31859999999999999</v>
      </c>
      <c r="X58" s="130">
        <f t="shared" si="6"/>
        <v>1875.8098961844412</v>
      </c>
      <c r="Y58" s="127">
        <f>'7_Local Revenue'!AS58</f>
        <v>244156059</v>
      </c>
      <c r="Z58" s="127">
        <f t="shared" si="29"/>
        <v>174591649</v>
      </c>
      <c r="AA58" s="131">
        <f t="shared" si="30"/>
        <v>0</v>
      </c>
      <c r="AB58" s="131">
        <f t="shared" si="7"/>
        <v>74247993.680000007</v>
      </c>
      <c r="AC58" s="131">
        <f t="shared" si="8"/>
        <v>74247993.680000007</v>
      </c>
      <c r="AD58" s="127">
        <f t="shared" si="9"/>
        <v>40687306.552690566</v>
      </c>
      <c r="AE58" s="132">
        <f t="shared" si="31"/>
        <v>33560687</v>
      </c>
      <c r="AF58" s="131">
        <f t="shared" si="10"/>
        <v>905</v>
      </c>
      <c r="AG58" s="133">
        <f t="shared" si="32"/>
        <v>0.45200000000000001</v>
      </c>
      <c r="AH58" s="132">
        <f t="shared" si="11"/>
        <v>182372729</v>
      </c>
      <c r="AI58" s="131">
        <f t="shared" si="12"/>
        <v>4918</v>
      </c>
      <c r="AJ58" s="132">
        <f>'3A_Level 3'!J58</f>
        <v>6354785</v>
      </c>
      <c r="AK58" s="131">
        <f t="shared" si="13"/>
        <v>171.35728731292974</v>
      </c>
      <c r="AL58" s="132">
        <f t="shared" si="33"/>
        <v>188727514</v>
      </c>
      <c r="AM58" s="131">
        <f t="shared" si="14"/>
        <v>5089.0525549413505</v>
      </c>
      <c r="AN58" s="134">
        <f>'3A_Level 3'!K58</f>
        <v>30770436</v>
      </c>
      <c r="AO58" s="135">
        <f t="shared" si="15"/>
        <v>829.72727517864371</v>
      </c>
      <c r="AP58" s="132">
        <f t="shared" si="34"/>
        <v>213143165</v>
      </c>
      <c r="AQ58" s="131">
        <f t="shared" si="16"/>
        <v>5747.4225428070649</v>
      </c>
      <c r="AR58" s="133">
        <f t="shared" si="35"/>
        <v>0.59711399317340941</v>
      </c>
      <c r="AS58" s="136">
        <f t="shared" si="36"/>
        <v>41</v>
      </c>
      <c r="AT58" s="131">
        <f t="shared" si="17"/>
        <v>143812403.68000001</v>
      </c>
      <c r="AU58" s="131">
        <f t="shared" si="18"/>
        <v>3877.91</v>
      </c>
      <c r="AV58" s="136">
        <f t="shared" si="37"/>
        <v>29</v>
      </c>
      <c r="AW58" s="133">
        <f t="shared" si="38"/>
        <v>0.40288600682659059</v>
      </c>
      <c r="AX58" s="135">
        <f t="shared" si="39"/>
        <v>356955568.68000001</v>
      </c>
      <c r="AY58" s="135">
        <f t="shared" si="19"/>
        <v>9625.335544829446</v>
      </c>
      <c r="AZ58" s="136">
        <f t="shared" si="40"/>
        <v>34</v>
      </c>
    </row>
    <row r="59" spans="1:52" ht="15.6" customHeight="1" x14ac:dyDescent="0.2">
      <c r="A59" s="121">
        <v>53</v>
      </c>
      <c r="B59" s="122" t="s">
        <v>183</v>
      </c>
      <c r="C59" s="137">
        <f>'8_2.1.21 SIS'!AV59</f>
        <v>19088</v>
      </c>
      <c r="D59" s="123">
        <v>14644</v>
      </c>
      <c r="E59" s="123">
        <f t="shared" si="20"/>
        <v>3221.68</v>
      </c>
      <c r="F59" s="124">
        <v>10812.5</v>
      </c>
      <c r="G59" s="123">
        <f t="shared" si="21"/>
        <v>648.75</v>
      </c>
      <c r="H59" s="123">
        <v>2604</v>
      </c>
      <c r="I59" s="123">
        <f t="shared" si="22"/>
        <v>3906</v>
      </c>
      <c r="J59" s="123">
        <v>471</v>
      </c>
      <c r="K59" s="123">
        <f t="shared" si="23"/>
        <v>282.59999999999997</v>
      </c>
      <c r="L59" s="123">
        <f t="shared" si="1"/>
        <v>0</v>
      </c>
      <c r="M59" s="126">
        <f t="shared" si="2"/>
        <v>0</v>
      </c>
      <c r="N59" s="123">
        <f t="shared" si="3"/>
        <v>0</v>
      </c>
      <c r="O59" s="123">
        <f t="shared" si="24"/>
        <v>8059.0300000000007</v>
      </c>
      <c r="P59" s="123">
        <f t="shared" si="4"/>
        <v>27147.03</v>
      </c>
      <c r="Q59" s="127">
        <f t="shared" si="25"/>
        <v>4015</v>
      </c>
      <c r="R59" s="127">
        <f t="shared" si="5"/>
        <v>108995325</v>
      </c>
      <c r="S59" s="127">
        <f>'6_Local Deduct Calc'!J59</f>
        <v>25307918</v>
      </c>
      <c r="T59" s="127">
        <f t="shared" si="26"/>
        <v>25307918</v>
      </c>
      <c r="U59" s="128">
        <f t="shared" si="27"/>
        <v>83687407</v>
      </c>
      <c r="V59" s="129">
        <f t="shared" si="41"/>
        <v>0.76780000000000004</v>
      </c>
      <c r="W59" s="129">
        <f t="shared" si="28"/>
        <v>0.23219999999999999</v>
      </c>
      <c r="X59" s="130">
        <f t="shared" si="6"/>
        <v>1325.8548826487845</v>
      </c>
      <c r="Y59" s="127">
        <f>'7_Local Revenue'!AS59</f>
        <v>55004111</v>
      </c>
      <c r="Z59" s="127">
        <f t="shared" si="29"/>
        <v>29696193</v>
      </c>
      <c r="AA59" s="131">
        <f t="shared" si="30"/>
        <v>0</v>
      </c>
      <c r="AB59" s="131">
        <f t="shared" si="7"/>
        <v>37058410.5</v>
      </c>
      <c r="AC59" s="131">
        <f t="shared" si="8"/>
        <v>29696193</v>
      </c>
      <c r="AD59" s="127">
        <f t="shared" si="9"/>
        <v>11860184.345112</v>
      </c>
      <c r="AE59" s="132">
        <f t="shared" si="31"/>
        <v>17836009</v>
      </c>
      <c r="AF59" s="131">
        <f t="shared" si="10"/>
        <v>934</v>
      </c>
      <c r="AG59" s="133">
        <f t="shared" si="32"/>
        <v>0.60060000000000002</v>
      </c>
      <c r="AH59" s="132">
        <f t="shared" si="11"/>
        <v>101523416</v>
      </c>
      <c r="AI59" s="131">
        <f t="shared" si="12"/>
        <v>5319</v>
      </c>
      <c r="AJ59" s="132">
        <f>'3A_Level 3'!J59</f>
        <v>3270868</v>
      </c>
      <c r="AK59" s="131">
        <f t="shared" si="13"/>
        <v>171.3572925398156</v>
      </c>
      <c r="AL59" s="132">
        <f t="shared" si="33"/>
        <v>104794284</v>
      </c>
      <c r="AM59" s="131">
        <f t="shared" si="14"/>
        <v>5490.0609807208721</v>
      </c>
      <c r="AN59" s="134">
        <f>'3A_Level 3'!K59</f>
        <v>16436625</v>
      </c>
      <c r="AO59" s="135">
        <f t="shared" si="15"/>
        <v>861.09728625314335</v>
      </c>
      <c r="AP59" s="132">
        <f t="shared" si="34"/>
        <v>117960041</v>
      </c>
      <c r="AQ59" s="131">
        <f t="shared" si="16"/>
        <v>6179.8009744341998</v>
      </c>
      <c r="AR59" s="133">
        <f t="shared" si="35"/>
        <v>0.68199126602835025</v>
      </c>
      <c r="AS59" s="136">
        <f t="shared" si="36"/>
        <v>17</v>
      </c>
      <c r="AT59" s="131">
        <f t="shared" si="17"/>
        <v>55004111</v>
      </c>
      <c r="AU59" s="131">
        <f t="shared" si="18"/>
        <v>2881.61</v>
      </c>
      <c r="AV59" s="136">
        <f t="shared" si="37"/>
        <v>60</v>
      </c>
      <c r="AW59" s="133">
        <f t="shared" si="38"/>
        <v>0.3180087339716498</v>
      </c>
      <c r="AX59" s="135">
        <f t="shared" si="39"/>
        <v>172964152</v>
      </c>
      <c r="AY59" s="135">
        <f t="shared" si="19"/>
        <v>9061.4077954735967</v>
      </c>
      <c r="AZ59" s="136">
        <f t="shared" si="40"/>
        <v>58</v>
      </c>
    </row>
    <row r="60" spans="1:52" ht="15.6" customHeight="1" x14ac:dyDescent="0.2">
      <c r="A60" s="121">
        <v>54</v>
      </c>
      <c r="B60" s="122" t="s">
        <v>184</v>
      </c>
      <c r="C60" s="137">
        <f>'8_2.1.21 SIS'!AV60</f>
        <v>403</v>
      </c>
      <c r="D60" s="123">
        <v>386</v>
      </c>
      <c r="E60" s="123">
        <f t="shared" si="20"/>
        <v>84.92</v>
      </c>
      <c r="F60" s="124">
        <v>316.5</v>
      </c>
      <c r="G60" s="123">
        <f t="shared" si="21"/>
        <v>18.989999999999998</v>
      </c>
      <c r="H60" s="123">
        <v>75</v>
      </c>
      <c r="I60" s="123">
        <f t="shared" si="22"/>
        <v>112.5</v>
      </c>
      <c r="J60" s="123">
        <v>10</v>
      </c>
      <c r="K60" s="123">
        <f t="shared" si="23"/>
        <v>6</v>
      </c>
      <c r="L60" s="123">
        <f t="shared" si="1"/>
        <v>7097</v>
      </c>
      <c r="M60" s="126">
        <f t="shared" si="2"/>
        <v>0.18925</v>
      </c>
      <c r="N60" s="123">
        <f t="shared" si="3"/>
        <v>76.267750000000007</v>
      </c>
      <c r="O60" s="123">
        <f t="shared" si="24"/>
        <v>298.67775</v>
      </c>
      <c r="P60" s="123">
        <f t="shared" si="4"/>
        <v>701.67775000000006</v>
      </c>
      <c r="Q60" s="127">
        <f t="shared" si="25"/>
        <v>4015</v>
      </c>
      <c r="R60" s="127">
        <f t="shared" si="5"/>
        <v>2817236</v>
      </c>
      <c r="S60" s="127">
        <f>'6_Local Deduct Calc'!J60</f>
        <v>1177589</v>
      </c>
      <c r="T60" s="127">
        <f t="shared" si="26"/>
        <v>1177589</v>
      </c>
      <c r="U60" s="128">
        <f t="shared" si="27"/>
        <v>1639647</v>
      </c>
      <c r="V60" s="129">
        <f t="shared" si="41"/>
        <v>0.58199999999999996</v>
      </c>
      <c r="W60" s="129">
        <f t="shared" si="28"/>
        <v>0.41799999999999998</v>
      </c>
      <c r="X60" s="130">
        <f t="shared" si="6"/>
        <v>2922.0570719602979</v>
      </c>
      <c r="Y60" s="127">
        <f>'7_Local Revenue'!AS60</f>
        <v>2866309</v>
      </c>
      <c r="Z60" s="127">
        <f t="shared" si="29"/>
        <v>1688720</v>
      </c>
      <c r="AA60" s="131">
        <f t="shared" si="30"/>
        <v>0</v>
      </c>
      <c r="AB60" s="131">
        <f t="shared" si="7"/>
        <v>957860.24000000011</v>
      </c>
      <c r="AC60" s="131">
        <f t="shared" si="8"/>
        <v>957860.24000000011</v>
      </c>
      <c r="AD60" s="127">
        <f t="shared" si="9"/>
        <v>688663.19815039996</v>
      </c>
      <c r="AE60" s="132">
        <f t="shared" si="31"/>
        <v>269197</v>
      </c>
      <c r="AF60" s="131">
        <f t="shared" si="10"/>
        <v>668</v>
      </c>
      <c r="AG60" s="133">
        <f t="shared" si="32"/>
        <v>0.28100000000000003</v>
      </c>
      <c r="AH60" s="132">
        <f t="shared" si="11"/>
        <v>1908844</v>
      </c>
      <c r="AI60" s="131">
        <f t="shared" si="12"/>
        <v>4737</v>
      </c>
      <c r="AJ60" s="132">
        <f>'3A_Level 3'!J60</f>
        <v>69057</v>
      </c>
      <c r="AK60" s="131">
        <f t="shared" si="13"/>
        <v>171.35732009925559</v>
      </c>
      <c r="AL60" s="132">
        <f t="shared" si="33"/>
        <v>1977901</v>
      </c>
      <c r="AM60" s="131">
        <f t="shared" si="14"/>
        <v>4907.9429280397026</v>
      </c>
      <c r="AN60" s="134">
        <f>'3A_Level 3'!K60</f>
        <v>452491</v>
      </c>
      <c r="AO60" s="135">
        <f t="shared" si="15"/>
        <v>1122.8064516129032</v>
      </c>
      <c r="AP60" s="132">
        <f t="shared" si="34"/>
        <v>2361335</v>
      </c>
      <c r="AQ60" s="131">
        <f t="shared" si="16"/>
        <v>5859.39205955335</v>
      </c>
      <c r="AR60" s="133">
        <f t="shared" si="35"/>
        <v>0.52511636626799774</v>
      </c>
      <c r="AS60" s="136">
        <f t="shared" si="36"/>
        <v>52</v>
      </c>
      <c r="AT60" s="131">
        <f t="shared" si="17"/>
        <v>2135449.2400000002</v>
      </c>
      <c r="AU60" s="131">
        <f t="shared" si="18"/>
        <v>5298.88</v>
      </c>
      <c r="AV60" s="136">
        <f t="shared" si="37"/>
        <v>11</v>
      </c>
      <c r="AW60" s="133">
        <f t="shared" si="38"/>
        <v>0.47488363373200226</v>
      </c>
      <c r="AX60" s="135">
        <f t="shared" si="39"/>
        <v>4496784.24</v>
      </c>
      <c r="AY60" s="135">
        <f t="shared" si="19"/>
        <v>11158.273548387097</v>
      </c>
      <c r="AZ60" s="136">
        <f t="shared" si="40"/>
        <v>5</v>
      </c>
    </row>
    <row r="61" spans="1:52" ht="15.6" customHeight="1" x14ac:dyDescent="0.2">
      <c r="A61" s="138">
        <v>55</v>
      </c>
      <c r="B61" s="139" t="s">
        <v>185</v>
      </c>
      <c r="C61" s="140">
        <f>'8_2.1.21 SIS'!AV61</f>
        <v>16389</v>
      </c>
      <c r="D61" s="141">
        <v>12138</v>
      </c>
      <c r="E61" s="141">
        <f t="shared" si="20"/>
        <v>2670.36</v>
      </c>
      <c r="F61" s="142">
        <v>7340.5</v>
      </c>
      <c r="G61" s="141">
        <f t="shared" si="21"/>
        <v>440.43</v>
      </c>
      <c r="H61" s="141">
        <v>2015</v>
      </c>
      <c r="I61" s="141">
        <f t="shared" si="22"/>
        <v>3022.5</v>
      </c>
      <c r="J61" s="141">
        <v>612</v>
      </c>
      <c r="K61" s="141">
        <f t="shared" si="23"/>
        <v>367.2</v>
      </c>
      <c r="L61" s="141">
        <f t="shared" si="1"/>
        <v>0</v>
      </c>
      <c r="M61" s="143">
        <f t="shared" si="2"/>
        <v>0</v>
      </c>
      <c r="N61" s="141">
        <f t="shared" si="3"/>
        <v>0</v>
      </c>
      <c r="O61" s="141">
        <f t="shared" si="24"/>
        <v>6500.49</v>
      </c>
      <c r="P61" s="144">
        <f t="shared" si="4"/>
        <v>22889.489999999998</v>
      </c>
      <c r="Q61" s="145">
        <f t="shared" si="25"/>
        <v>4015</v>
      </c>
      <c r="R61" s="145">
        <f t="shared" si="5"/>
        <v>91901302</v>
      </c>
      <c r="S61" s="145">
        <f>'6_Local Deduct Calc'!J61</f>
        <v>30471044</v>
      </c>
      <c r="T61" s="145">
        <f t="shared" si="26"/>
        <v>30471044</v>
      </c>
      <c r="U61" s="146">
        <f t="shared" si="27"/>
        <v>61430258</v>
      </c>
      <c r="V61" s="147">
        <f t="shared" si="41"/>
        <v>0.66839999999999999</v>
      </c>
      <c r="W61" s="148">
        <f t="shared" si="28"/>
        <v>0.33160000000000001</v>
      </c>
      <c r="X61" s="149">
        <f t="shared" si="6"/>
        <v>1859.2375373726279</v>
      </c>
      <c r="Y61" s="145">
        <f>'7_Local Revenue'!AS61</f>
        <v>67637761</v>
      </c>
      <c r="Z61" s="145">
        <f t="shared" si="29"/>
        <v>37166717</v>
      </c>
      <c r="AA61" s="150">
        <f t="shared" si="30"/>
        <v>0</v>
      </c>
      <c r="AB61" s="150">
        <f t="shared" si="7"/>
        <v>31246442.680000003</v>
      </c>
      <c r="AC61" s="150">
        <f t="shared" si="8"/>
        <v>31246442.680000003</v>
      </c>
      <c r="AD61" s="145">
        <f t="shared" si="9"/>
        <v>17821471.07542336</v>
      </c>
      <c r="AE61" s="151">
        <f t="shared" si="31"/>
        <v>13424972</v>
      </c>
      <c r="AF61" s="150">
        <f t="shared" si="10"/>
        <v>819</v>
      </c>
      <c r="AG61" s="152">
        <f t="shared" si="32"/>
        <v>0.42959999999999998</v>
      </c>
      <c r="AH61" s="151">
        <f t="shared" si="11"/>
        <v>74855230</v>
      </c>
      <c r="AI61" s="150">
        <f t="shared" si="12"/>
        <v>4567</v>
      </c>
      <c r="AJ61" s="151">
        <f>'3A_Level 3'!J61</f>
        <v>2808374</v>
      </c>
      <c r="AK61" s="150">
        <f t="shared" si="13"/>
        <v>171.35725181524194</v>
      </c>
      <c r="AL61" s="151">
        <f t="shared" si="33"/>
        <v>77663604</v>
      </c>
      <c r="AM61" s="150">
        <f t="shared" si="14"/>
        <v>4738.7640490572949</v>
      </c>
      <c r="AN61" s="153">
        <f>'3A_Level 3'!K61</f>
        <v>15839923</v>
      </c>
      <c r="AO61" s="154">
        <f t="shared" si="15"/>
        <v>966.49722374763564</v>
      </c>
      <c r="AP61" s="151">
        <f t="shared" si="34"/>
        <v>90695153</v>
      </c>
      <c r="AQ61" s="150">
        <f t="shared" si="16"/>
        <v>5533.9040209896884</v>
      </c>
      <c r="AR61" s="152">
        <f t="shared" si="35"/>
        <v>0.59506319941981334</v>
      </c>
      <c r="AS61" s="155">
        <f t="shared" si="36"/>
        <v>42</v>
      </c>
      <c r="AT61" s="150">
        <f t="shared" si="17"/>
        <v>61717486.68</v>
      </c>
      <c r="AU61" s="150">
        <f t="shared" si="18"/>
        <v>3765.79</v>
      </c>
      <c r="AV61" s="155">
        <f t="shared" si="37"/>
        <v>30</v>
      </c>
      <c r="AW61" s="152">
        <f t="shared" si="38"/>
        <v>0.40493680058018661</v>
      </c>
      <c r="AX61" s="154">
        <f t="shared" si="39"/>
        <v>152412639.68000001</v>
      </c>
      <c r="AY61" s="154">
        <f t="shared" si="19"/>
        <v>9299.6912368051744</v>
      </c>
      <c r="AZ61" s="155">
        <f t="shared" si="40"/>
        <v>53</v>
      </c>
    </row>
    <row r="62" spans="1:52" ht="15.6" customHeight="1" x14ac:dyDescent="0.2">
      <c r="A62" s="121">
        <v>56</v>
      </c>
      <c r="B62" s="122" t="s">
        <v>186</v>
      </c>
      <c r="C62" s="137">
        <f>'8_2.1.21 SIS'!AV62</f>
        <v>2926</v>
      </c>
      <c r="D62" s="123">
        <v>2279</v>
      </c>
      <c r="E62" s="123">
        <f t="shared" si="20"/>
        <v>501.38</v>
      </c>
      <c r="F62" s="124">
        <v>1253</v>
      </c>
      <c r="G62" s="123">
        <f t="shared" si="21"/>
        <v>75.179999999999993</v>
      </c>
      <c r="H62" s="123">
        <v>380</v>
      </c>
      <c r="I62" s="123">
        <f t="shared" si="22"/>
        <v>570</v>
      </c>
      <c r="J62" s="123">
        <v>39</v>
      </c>
      <c r="K62" s="123">
        <f t="shared" si="23"/>
        <v>23.4</v>
      </c>
      <c r="L62" s="125">
        <f t="shared" si="1"/>
        <v>4574</v>
      </c>
      <c r="M62" s="126">
        <f t="shared" si="2"/>
        <v>0.12197</v>
      </c>
      <c r="N62" s="123">
        <f t="shared" si="3"/>
        <v>356.88421999999997</v>
      </c>
      <c r="O62" s="123">
        <f t="shared" si="24"/>
        <v>1526.84422</v>
      </c>
      <c r="P62" s="123">
        <f t="shared" si="4"/>
        <v>4452.84422</v>
      </c>
      <c r="Q62" s="127">
        <f t="shared" si="25"/>
        <v>4015</v>
      </c>
      <c r="R62" s="127">
        <f t="shared" si="5"/>
        <v>17878170</v>
      </c>
      <c r="S62" s="127">
        <f>'6_Local Deduct Calc'!J62</f>
        <v>4069193</v>
      </c>
      <c r="T62" s="127">
        <f t="shared" si="26"/>
        <v>4069193</v>
      </c>
      <c r="U62" s="128">
        <f t="shared" si="27"/>
        <v>13808977</v>
      </c>
      <c r="V62" s="129">
        <f t="shared" si="41"/>
        <v>0.77239999999999998</v>
      </c>
      <c r="W62" s="129">
        <f t="shared" si="28"/>
        <v>0.2276</v>
      </c>
      <c r="X62" s="130">
        <f t="shared" si="6"/>
        <v>1390.7016404647984</v>
      </c>
      <c r="Y62" s="127">
        <f>'7_Local Revenue'!AS62</f>
        <v>13137790</v>
      </c>
      <c r="Z62" s="127">
        <f t="shared" si="29"/>
        <v>9068597</v>
      </c>
      <c r="AA62" s="131">
        <f t="shared" si="30"/>
        <v>0</v>
      </c>
      <c r="AB62" s="131">
        <f t="shared" si="7"/>
        <v>6078577.8000000007</v>
      </c>
      <c r="AC62" s="131">
        <f t="shared" si="8"/>
        <v>6078577.8000000007</v>
      </c>
      <c r="AD62" s="127">
        <f t="shared" si="9"/>
        <v>2379593.0085216002</v>
      </c>
      <c r="AE62" s="132">
        <f t="shared" si="31"/>
        <v>3698985</v>
      </c>
      <c r="AF62" s="131">
        <f t="shared" si="10"/>
        <v>1264</v>
      </c>
      <c r="AG62" s="133">
        <f t="shared" si="32"/>
        <v>0.60850000000000004</v>
      </c>
      <c r="AH62" s="132">
        <f t="shared" si="11"/>
        <v>17507962</v>
      </c>
      <c r="AI62" s="131">
        <f t="shared" si="12"/>
        <v>5984</v>
      </c>
      <c r="AJ62" s="132">
        <f>'3A_Level 3'!J62</f>
        <v>501391</v>
      </c>
      <c r="AK62" s="131">
        <f t="shared" si="13"/>
        <v>171.35714285714286</v>
      </c>
      <c r="AL62" s="132">
        <f t="shared" si="33"/>
        <v>18009353</v>
      </c>
      <c r="AM62" s="131">
        <f t="shared" si="14"/>
        <v>6154.9395078605603</v>
      </c>
      <c r="AN62" s="134">
        <f>'3A_Level 3'!K62</f>
        <v>2299886</v>
      </c>
      <c r="AO62" s="135">
        <f t="shared" si="15"/>
        <v>786.01708817498286</v>
      </c>
      <c r="AP62" s="132">
        <f t="shared" si="34"/>
        <v>19807848</v>
      </c>
      <c r="AQ62" s="131">
        <f t="shared" si="16"/>
        <v>6769.5994531784008</v>
      </c>
      <c r="AR62" s="133">
        <f t="shared" si="35"/>
        <v>0.66123982055747077</v>
      </c>
      <c r="AS62" s="136">
        <f t="shared" si="36"/>
        <v>26</v>
      </c>
      <c r="AT62" s="131">
        <f t="shared" si="17"/>
        <v>10147770.800000001</v>
      </c>
      <c r="AU62" s="131">
        <f t="shared" si="18"/>
        <v>3468.14</v>
      </c>
      <c r="AV62" s="136">
        <f t="shared" si="37"/>
        <v>42</v>
      </c>
      <c r="AW62" s="133">
        <f t="shared" si="38"/>
        <v>0.33876017944252917</v>
      </c>
      <c r="AX62" s="135">
        <f t="shared" si="39"/>
        <v>29955618.800000001</v>
      </c>
      <c r="AY62" s="135">
        <f t="shared" si="19"/>
        <v>10237.737115516064</v>
      </c>
      <c r="AZ62" s="136">
        <f t="shared" si="40"/>
        <v>16</v>
      </c>
    </row>
    <row r="63" spans="1:52" ht="15.6" customHeight="1" x14ac:dyDescent="0.2">
      <c r="A63" s="121">
        <v>57</v>
      </c>
      <c r="B63" s="122" t="s">
        <v>187</v>
      </c>
      <c r="C63" s="137">
        <f>'8_2.1.21 SIS'!AV63</f>
        <v>9285</v>
      </c>
      <c r="D63" s="123">
        <v>6100</v>
      </c>
      <c r="E63" s="123">
        <f t="shared" si="20"/>
        <v>1342</v>
      </c>
      <c r="F63" s="124">
        <v>4123</v>
      </c>
      <c r="G63" s="123">
        <f t="shared" si="21"/>
        <v>247.38</v>
      </c>
      <c r="H63" s="123">
        <v>1206</v>
      </c>
      <c r="I63" s="123">
        <f t="shared" si="22"/>
        <v>1809</v>
      </c>
      <c r="J63" s="123">
        <v>209</v>
      </c>
      <c r="K63" s="123">
        <f t="shared" si="23"/>
        <v>125.39999999999999</v>
      </c>
      <c r="L63" s="123">
        <f t="shared" si="1"/>
        <v>0</v>
      </c>
      <c r="M63" s="126">
        <f t="shared" si="2"/>
        <v>0</v>
      </c>
      <c r="N63" s="123">
        <f t="shared" si="3"/>
        <v>0</v>
      </c>
      <c r="O63" s="123">
        <f t="shared" si="24"/>
        <v>3523.78</v>
      </c>
      <c r="P63" s="123">
        <f t="shared" si="4"/>
        <v>12808.78</v>
      </c>
      <c r="Q63" s="127">
        <f t="shared" si="25"/>
        <v>4015</v>
      </c>
      <c r="R63" s="127">
        <f t="shared" si="5"/>
        <v>51427252</v>
      </c>
      <c r="S63" s="127">
        <f>'6_Local Deduct Calc'!J63</f>
        <v>10864934</v>
      </c>
      <c r="T63" s="127">
        <f t="shared" si="26"/>
        <v>10864934</v>
      </c>
      <c r="U63" s="128">
        <f t="shared" si="27"/>
        <v>40562318</v>
      </c>
      <c r="V63" s="129">
        <f t="shared" si="41"/>
        <v>0.78869999999999996</v>
      </c>
      <c r="W63" s="129">
        <f t="shared" si="28"/>
        <v>0.21129999999999999</v>
      </c>
      <c r="X63" s="130">
        <f t="shared" si="6"/>
        <v>1170.1598276790523</v>
      </c>
      <c r="Y63" s="127">
        <f>'7_Local Revenue'!AS63</f>
        <v>24426148</v>
      </c>
      <c r="Z63" s="127">
        <f t="shared" si="29"/>
        <v>13561214</v>
      </c>
      <c r="AA63" s="131">
        <f t="shared" si="30"/>
        <v>0</v>
      </c>
      <c r="AB63" s="131">
        <f t="shared" si="7"/>
        <v>17485265.68</v>
      </c>
      <c r="AC63" s="131">
        <f t="shared" si="8"/>
        <v>13561214</v>
      </c>
      <c r="AD63" s="127">
        <f t="shared" si="9"/>
        <v>4928633.3713039998</v>
      </c>
      <c r="AE63" s="132">
        <f t="shared" si="31"/>
        <v>8632581</v>
      </c>
      <c r="AF63" s="131">
        <f t="shared" si="10"/>
        <v>930</v>
      </c>
      <c r="AG63" s="133">
        <f t="shared" si="32"/>
        <v>0.63660000000000005</v>
      </c>
      <c r="AH63" s="132">
        <f t="shared" si="11"/>
        <v>49194899</v>
      </c>
      <c r="AI63" s="131">
        <f t="shared" si="12"/>
        <v>5298</v>
      </c>
      <c r="AJ63" s="132">
        <f>'3A_Level 3'!J63</f>
        <v>1591052</v>
      </c>
      <c r="AK63" s="131">
        <f t="shared" si="13"/>
        <v>171.35724286483577</v>
      </c>
      <c r="AL63" s="132">
        <f t="shared" si="33"/>
        <v>50785951</v>
      </c>
      <c r="AM63" s="131">
        <f t="shared" si="14"/>
        <v>5469.6770059235323</v>
      </c>
      <c r="AN63" s="134">
        <f>'3A_Level 3'!K63</f>
        <v>8689527</v>
      </c>
      <c r="AO63" s="135">
        <f t="shared" si="15"/>
        <v>935.86720516962839</v>
      </c>
      <c r="AP63" s="132">
        <f t="shared" si="34"/>
        <v>57884426</v>
      </c>
      <c r="AQ63" s="131">
        <f t="shared" si="16"/>
        <v>6234.186968228325</v>
      </c>
      <c r="AR63" s="133">
        <f t="shared" si="35"/>
        <v>0.70324410567225537</v>
      </c>
      <c r="AS63" s="136">
        <f t="shared" si="36"/>
        <v>11</v>
      </c>
      <c r="AT63" s="131">
        <f t="shared" si="17"/>
        <v>24426148</v>
      </c>
      <c r="AU63" s="131">
        <f t="shared" si="18"/>
        <v>2630.71</v>
      </c>
      <c r="AV63" s="136">
        <f t="shared" si="37"/>
        <v>66</v>
      </c>
      <c r="AW63" s="133">
        <f t="shared" si="38"/>
        <v>0.29675589432774457</v>
      </c>
      <c r="AX63" s="135">
        <f t="shared" si="39"/>
        <v>82310574</v>
      </c>
      <c r="AY63" s="135">
        <f t="shared" si="19"/>
        <v>8864.8975767366719</v>
      </c>
      <c r="AZ63" s="136">
        <f t="shared" si="40"/>
        <v>63</v>
      </c>
    </row>
    <row r="64" spans="1:52" ht="15.6" customHeight="1" x14ac:dyDescent="0.2">
      <c r="A64" s="121">
        <v>58</v>
      </c>
      <c r="B64" s="122" t="s">
        <v>188</v>
      </c>
      <c r="C64" s="137">
        <f>'8_2.1.21 SIS'!AV64</f>
        <v>7709</v>
      </c>
      <c r="D64" s="123">
        <v>5345</v>
      </c>
      <c r="E64" s="123">
        <f t="shared" si="20"/>
        <v>1175.9000000000001</v>
      </c>
      <c r="F64" s="124">
        <v>3031</v>
      </c>
      <c r="G64" s="123">
        <f t="shared" si="21"/>
        <v>181.85999999999999</v>
      </c>
      <c r="H64" s="123">
        <v>1084</v>
      </c>
      <c r="I64" s="123">
        <f t="shared" si="22"/>
        <v>1626</v>
      </c>
      <c r="J64" s="123">
        <v>125</v>
      </c>
      <c r="K64" s="123">
        <f t="shared" si="23"/>
        <v>75</v>
      </c>
      <c r="L64" s="123">
        <f t="shared" si="1"/>
        <v>0</v>
      </c>
      <c r="M64" s="126">
        <f t="shared" si="2"/>
        <v>0</v>
      </c>
      <c r="N64" s="123">
        <f t="shared" si="3"/>
        <v>0</v>
      </c>
      <c r="O64" s="123">
        <f t="shared" si="24"/>
        <v>3058.76</v>
      </c>
      <c r="P64" s="123">
        <f t="shared" si="4"/>
        <v>10767.76</v>
      </c>
      <c r="Q64" s="127">
        <f t="shared" si="25"/>
        <v>4015</v>
      </c>
      <c r="R64" s="127">
        <f t="shared" si="5"/>
        <v>43232556</v>
      </c>
      <c r="S64" s="127">
        <f>'6_Local Deduct Calc'!J64</f>
        <v>7117741</v>
      </c>
      <c r="T64" s="127">
        <f t="shared" si="26"/>
        <v>7117741</v>
      </c>
      <c r="U64" s="128">
        <f t="shared" si="27"/>
        <v>36114815</v>
      </c>
      <c r="V64" s="129">
        <f t="shared" si="41"/>
        <v>0.83540000000000003</v>
      </c>
      <c r="W64" s="129">
        <f t="shared" si="28"/>
        <v>0.1646</v>
      </c>
      <c r="X64" s="130">
        <f t="shared" si="6"/>
        <v>923.30276300428068</v>
      </c>
      <c r="Y64" s="127">
        <f>'7_Local Revenue'!AS64</f>
        <v>21657357</v>
      </c>
      <c r="Z64" s="127">
        <f t="shared" si="29"/>
        <v>14539616</v>
      </c>
      <c r="AA64" s="131">
        <f t="shared" si="30"/>
        <v>0</v>
      </c>
      <c r="AB64" s="131">
        <f t="shared" si="7"/>
        <v>14699069.040000001</v>
      </c>
      <c r="AC64" s="131">
        <f t="shared" si="8"/>
        <v>14539616</v>
      </c>
      <c r="AD64" s="127">
        <f t="shared" si="9"/>
        <v>4116339.7649919996</v>
      </c>
      <c r="AE64" s="132">
        <f t="shared" si="31"/>
        <v>10423276</v>
      </c>
      <c r="AF64" s="131">
        <f t="shared" si="10"/>
        <v>1352</v>
      </c>
      <c r="AG64" s="133">
        <f t="shared" si="32"/>
        <v>0.71689999999999998</v>
      </c>
      <c r="AH64" s="132">
        <f t="shared" si="11"/>
        <v>46538091</v>
      </c>
      <c r="AI64" s="131">
        <f t="shared" si="12"/>
        <v>6037</v>
      </c>
      <c r="AJ64" s="132">
        <f>'3A_Level 3'!J64</f>
        <v>1320993</v>
      </c>
      <c r="AK64" s="131">
        <f t="shared" si="13"/>
        <v>171.35724477882994</v>
      </c>
      <c r="AL64" s="132">
        <f t="shared" si="33"/>
        <v>47859084</v>
      </c>
      <c r="AM64" s="131">
        <f t="shared" si="14"/>
        <v>6208.2091062394602</v>
      </c>
      <c r="AN64" s="134">
        <f>'3A_Level 3'!K64</f>
        <v>6694474</v>
      </c>
      <c r="AO64" s="135">
        <f t="shared" si="15"/>
        <v>868.39719808016605</v>
      </c>
      <c r="AP64" s="132">
        <f t="shared" si="34"/>
        <v>53232565</v>
      </c>
      <c r="AQ64" s="131">
        <f t="shared" si="16"/>
        <v>6905.2490595407962</v>
      </c>
      <c r="AR64" s="133">
        <f t="shared" si="35"/>
        <v>0.71081079507600498</v>
      </c>
      <c r="AS64" s="136">
        <f t="shared" si="36"/>
        <v>7</v>
      </c>
      <c r="AT64" s="131">
        <f t="shared" si="17"/>
        <v>21657357</v>
      </c>
      <c r="AU64" s="131">
        <f t="shared" si="18"/>
        <v>2809.36</v>
      </c>
      <c r="AV64" s="136">
        <f t="shared" si="37"/>
        <v>62</v>
      </c>
      <c r="AW64" s="133">
        <f t="shared" si="38"/>
        <v>0.28918920492399497</v>
      </c>
      <c r="AX64" s="135">
        <f t="shared" si="39"/>
        <v>74889922</v>
      </c>
      <c r="AY64" s="135">
        <f t="shared" si="19"/>
        <v>9714.6091581268647</v>
      </c>
      <c r="AZ64" s="136">
        <f t="shared" si="40"/>
        <v>31</v>
      </c>
    </row>
    <row r="65" spans="1:52" ht="15.6" customHeight="1" x14ac:dyDescent="0.2">
      <c r="A65" s="121">
        <v>59</v>
      </c>
      <c r="B65" s="122" t="s">
        <v>189</v>
      </c>
      <c r="C65" s="137">
        <f>'8_2.1.21 SIS'!AV65</f>
        <v>4820</v>
      </c>
      <c r="D65" s="123">
        <v>3588</v>
      </c>
      <c r="E65" s="123">
        <f t="shared" si="20"/>
        <v>789.36</v>
      </c>
      <c r="F65" s="124">
        <v>2924</v>
      </c>
      <c r="G65" s="123">
        <f t="shared" si="21"/>
        <v>175.44</v>
      </c>
      <c r="H65" s="123">
        <v>984</v>
      </c>
      <c r="I65" s="123">
        <f t="shared" si="22"/>
        <v>1476</v>
      </c>
      <c r="J65" s="123">
        <v>350</v>
      </c>
      <c r="K65" s="123">
        <f t="shared" si="23"/>
        <v>210</v>
      </c>
      <c r="L65" s="123">
        <f t="shared" si="1"/>
        <v>2680</v>
      </c>
      <c r="M65" s="126">
        <f t="shared" si="2"/>
        <v>7.1470000000000006E-2</v>
      </c>
      <c r="N65" s="123">
        <f t="shared" si="3"/>
        <v>344.48540000000003</v>
      </c>
      <c r="O65" s="123">
        <f t="shared" si="24"/>
        <v>2995.2854000000002</v>
      </c>
      <c r="P65" s="123">
        <f t="shared" si="4"/>
        <v>7815.2854000000007</v>
      </c>
      <c r="Q65" s="127">
        <f t="shared" si="25"/>
        <v>4015</v>
      </c>
      <c r="R65" s="127">
        <f t="shared" si="5"/>
        <v>31378371</v>
      </c>
      <c r="S65" s="127">
        <f>'6_Local Deduct Calc'!J65</f>
        <v>3420196</v>
      </c>
      <c r="T65" s="127">
        <f t="shared" si="26"/>
        <v>3420196</v>
      </c>
      <c r="U65" s="128">
        <f t="shared" si="27"/>
        <v>27958175</v>
      </c>
      <c r="V65" s="129">
        <f t="shared" si="41"/>
        <v>0.89100000000000001</v>
      </c>
      <c r="W65" s="129">
        <f t="shared" si="28"/>
        <v>0.109</v>
      </c>
      <c r="X65" s="130">
        <f t="shared" si="6"/>
        <v>709.58423236514523</v>
      </c>
      <c r="Y65" s="127">
        <f>'7_Local Revenue'!AS65</f>
        <v>8320176</v>
      </c>
      <c r="Z65" s="127">
        <f t="shared" si="29"/>
        <v>4899980</v>
      </c>
      <c r="AA65" s="131">
        <f t="shared" si="30"/>
        <v>0</v>
      </c>
      <c r="AB65" s="131">
        <f t="shared" si="7"/>
        <v>10668646.140000001</v>
      </c>
      <c r="AC65" s="131">
        <f t="shared" si="8"/>
        <v>4899980</v>
      </c>
      <c r="AD65" s="127">
        <f t="shared" si="9"/>
        <v>918648.25040000002</v>
      </c>
      <c r="AE65" s="132">
        <f t="shared" si="31"/>
        <v>3981332</v>
      </c>
      <c r="AF65" s="131">
        <f t="shared" si="10"/>
        <v>826</v>
      </c>
      <c r="AG65" s="133">
        <f t="shared" si="32"/>
        <v>0.8125</v>
      </c>
      <c r="AH65" s="132">
        <f t="shared" si="11"/>
        <v>31939507</v>
      </c>
      <c r="AI65" s="131">
        <f t="shared" si="12"/>
        <v>6626</v>
      </c>
      <c r="AJ65" s="132">
        <f>'3A_Level 3'!J65</f>
        <v>825942</v>
      </c>
      <c r="AK65" s="131">
        <f t="shared" si="13"/>
        <v>171.35726141078837</v>
      </c>
      <c r="AL65" s="132">
        <f t="shared" si="33"/>
        <v>32765449</v>
      </c>
      <c r="AM65" s="131">
        <f t="shared" si="14"/>
        <v>6797.810995850622</v>
      </c>
      <c r="AN65" s="134">
        <f>'3A_Level 3'!K65</f>
        <v>4149428</v>
      </c>
      <c r="AO65" s="135">
        <f t="shared" si="15"/>
        <v>860.8771784232365</v>
      </c>
      <c r="AP65" s="132">
        <f t="shared" si="34"/>
        <v>36088935</v>
      </c>
      <c r="AQ65" s="131">
        <f t="shared" si="16"/>
        <v>7487.3309128630708</v>
      </c>
      <c r="AR65" s="133">
        <f t="shared" si="35"/>
        <v>0.81264709397132495</v>
      </c>
      <c r="AS65" s="136">
        <f t="shared" si="36"/>
        <v>1</v>
      </c>
      <c r="AT65" s="131">
        <f t="shared" si="17"/>
        <v>8320176</v>
      </c>
      <c r="AU65" s="131">
        <f t="shared" si="18"/>
        <v>1726.18</v>
      </c>
      <c r="AV65" s="136">
        <f t="shared" si="37"/>
        <v>69</v>
      </c>
      <c r="AW65" s="133">
        <f t="shared" si="38"/>
        <v>0.18735290602867505</v>
      </c>
      <c r="AX65" s="135">
        <f t="shared" si="39"/>
        <v>44409111</v>
      </c>
      <c r="AY65" s="135">
        <f t="shared" si="19"/>
        <v>9213.5085062240669</v>
      </c>
      <c r="AZ65" s="136">
        <f t="shared" si="40"/>
        <v>56</v>
      </c>
    </row>
    <row r="66" spans="1:52" ht="15.6" customHeight="1" x14ac:dyDescent="0.2">
      <c r="A66" s="138">
        <v>60</v>
      </c>
      <c r="B66" s="139" t="s">
        <v>190</v>
      </c>
      <c r="C66" s="140">
        <f>'8_2.1.21 SIS'!AV66</f>
        <v>5557</v>
      </c>
      <c r="D66" s="141">
        <v>4130</v>
      </c>
      <c r="E66" s="141">
        <f t="shared" si="20"/>
        <v>908.6</v>
      </c>
      <c r="F66" s="142">
        <v>2562.5</v>
      </c>
      <c r="G66" s="141">
        <f t="shared" si="21"/>
        <v>153.75</v>
      </c>
      <c r="H66" s="141">
        <v>854</v>
      </c>
      <c r="I66" s="141">
        <f t="shared" si="22"/>
        <v>1281</v>
      </c>
      <c r="J66" s="141">
        <v>320</v>
      </c>
      <c r="K66" s="141">
        <f t="shared" si="23"/>
        <v>192</v>
      </c>
      <c r="L66" s="141">
        <f t="shared" si="1"/>
        <v>1943</v>
      </c>
      <c r="M66" s="143">
        <f t="shared" si="2"/>
        <v>5.1810000000000002E-2</v>
      </c>
      <c r="N66" s="141">
        <f t="shared" si="3"/>
        <v>287.90816999999998</v>
      </c>
      <c r="O66" s="141">
        <f t="shared" si="24"/>
        <v>2823.2581700000001</v>
      </c>
      <c r="P66" s="144">
        <f t="shared" si="4"/>
        <v>8380.258170000001</v>
      </c>
      <c r="Q66" s="145">
        <f t="shared" si="25"/>
        <v>4015</v>
      </c>
      <c r="R66" s="145">
        <f t="shared" si="5"/>
        <v>33646737</v>
      </c>
      <c r="S66" s="145">
        <f>'6_Local Deduct Calc'!J66</f>
        <v>8785225</v>
      </c>
      <c r="T66" s="145">
        <f t="shared" si="26"/>
        <v>8785225</v>
      </c>
      <c r="U66" s="146">
        <f t="shared" si="27"/>
        <v>24861512</v>
      </c>
      <c r="V66" s="147">
        <f t="shared" si="41"/>
        <v>0.7389</v>
      </c>
      <c r="W66" s="148">
        <f t="shared" si="28"/>
        <v>0.2611</v>
      </c>
      <c r="X66" s="149">
        <f t="shared" si="6"/>
        <v>1580.9294583408314</v>
      </c>
      <c r="Y66" s="145">
        <f>'7_Local Revenue'!AS66</f>
        <v>27476002</v>
      </c>
      <c r="Z66" s="145">
        <f t="shared" si="29"/>
        <v>18690777</v>
      </c>
      <c r="AA66" s="150">
        <f t="shared" si="30"/>
        <v>0</v>
      </c>
      <c r="AB66" s="150">
        <f t="shared" si="7"/>
        <v>11439890.58</v>
      </c>
      <c r="AC66" s="150">
        <f t="shared" si="8"/>
        <v>11439890.58</v>
      </c>
      <c r="AD66" s="145">
        <f t="shared" si="9"/>
        <v>5137563.3403533595</v>
      </c>
      <c r="AE66" s="151">
        <f t="shared" si="31"/>
        <v>6302327</v>
      </c>
      <c r="AF66" s="150">
        <f t="shared" si="10"/>
        <v>1134</v>
      </c>
      <c r="AG66" s="152">
        <f t="shared" si="32"/>
        <v>0.55089999999999995</v>
      </c>
      <c r="AH66" s="151">
        <f t="shared" si="11"/>
        <v>31163839</v>
      </c>
      <c r="AI66" s="150">
        <f t="shared" si="12"/>
        <v>5608</v>
      </c>
      <c r="AJ66" s="151">
        <f>'3A_Level 3'!J66</f>
        <v>952232</v>
      </c>
      <c r="AK66" s="150">
        <f t="shared" si="13"/>
        <v>171.35720712614719</v>
      </c>
      <c r="AL66" s="151">
        <f t="shared" si="33"/>
        <v>32116071</v>
      </c>
      <c r="AM66" s="150">
        <f t="shared" si="14"/>
        <v>5779.3901385639738</v>
      </c>
      <c r="AN66" s="153">
        <f>'3A_Level 3'!K66</f>
        <v>4253312</v>
      </c>
      <c r="AO66" s="154">
        <f t="shared" si="15"/>
        <v>765.39715673924775</v>
      </c>
      <c r="AP66" s="151">
        <f t="shared" si="34"/>
        <v>35417151</v>
      </c>
      <c r="AQ66" s="150">
        <f t="shared" si="16"/>
        <v>6373.4300881770741</v>
      </c>
      <c r="AR66" s="152">
        <f t="shared" si="35"/>
        <v>0.6365152459970117</v>
      </c>
      <c r="AS66" s="155">
        <f t="shared" si="36"/>
        <v>32</v>
      </c>
      <c r="AT66" s="150">
        <f t="shared" si="17"/>
        <v>20225115.579999998</v>
      </c>
      <c r="AU66" s="150">
        <f t="shared" si="18"/>
        <v>3639.57</v>
      </c>
      <c r="AV66" s="155">
        <f t="shared" si="37"/>
        <v>34</v>
      </c>
      <c r="AW66" s="152">
        <f t="shared" si="38"/>
        <v>0.36348475400298835</v>
      </c>
      <c r="AX66" s="154">
        <f t="shared" si="39"/>
        <v>55642266.579999998</v>
      </c>
      <c r="AY66" s="154">
        <f t="shared" si="19"/>
        <v>10013.004603203166</v>
      </c>
      <c r="AZ66" s="155">
        <f t="shared" si="40"/>
        <v>24</v>
      </c>
    </row>
    <row r="67" spans="1:52" ht="15.6" customHeight="1" x14ac:dyDescent="0.2">
      <c r="A67" s="121">
        <v>61</v>
      </c>
      <c r="B67" s="122" t="s">
        <v>191</v>
      </c>
      <c r="C67" s="123">
        <f>'8_2.1.21 SIS'!AV67</f>
        <v>3889</v>
      </c>
      <c r="D67" s="123">
        <v>2793</v>
      </c>
      <c r="E67" s="123">
        <f t="shared" si="20"/>
        <v>614.46</v>
      </c>
      <c r="F67" s="124">
        <v>1647</v>
      </c>
      <c r="G67" s="123">
        <f t="shared" si="21"/>
        <v>98.82</v>
      </c>
      <c r="H67" s="123">
        <v>491</v>
      </c>
      <c r="I67" s="123">
        <f t="shared" si="22"/>
        <v>736.5</v>
      </c>
      <c r="J67" s="123">
        <v>184</v>
      </c>
      <c r="K67" s="123">
        <f t="shared" si="23"/>
        <v>110.39999999999999</v>
      </c>
      <c r="L67" s="125">
        <f t="shared" si="1"/>
        <v>3611</v>
      </c>
      <c r="M67" s="126">
        <f t="shared" si="2"/>
        <v>9.6290000000000001E-2</v>
      </c>
      <c r="N67" s="123">
        <f t="shared" si="3"/>
        <v>374.47181</v>
      </c>
      <c r="O67" s="123">
        <f t="shared" si="24"/>
        <v>1934.6518100000001</v>
      </c>
      <c r="P67" s="123">
        <f t="shared" si="4"/>
        <v>5823.6518100000003</v>
      </c>
      <c r="Q67" s="127">
        <f t="shared" si="25"/>
        <v>4015</v>
      </c>
      <c r="R67" s="127">
        <f t="shared" si="5"/>
        <v>23381962</v>
      </c>
      <c r="S67" s="127">
        <f>'6_Local Deduct Calc'!J67</f>
        <v>12413343</v>
      </c>
      <c r="T67" s="127">
        <f t="shared" si="26"/>
        <v>12413343</v>
      </c>
      <c r="U67" s="157">
        <f t="shared" si="27"/>
        <v>10968619</v>
      </c>
      <c r="V67" s="129">
        <f t="shared" si="41"/>
        <v>0.46910000000000002</v>
      </c>
      <c r="W67" s="129">
        <f t="shared" si="28"/>
        <v>0.53090000000000004</v>
      </c>
      <c r="X67" s="130">
        <f t="shared" si="6"/>
        <v>3191.9112882489071</v>
      </c>
      <c r="Y67" s="127">
        <f>'7_Local Revenue'!AS67</f>
        <v>43187312</v>
      </c>
      <c r="Z67" s="127">
        <f t="shared" si="29"/>
        <v>30773969</v>
      </c>
      <c r="AA67" s="131">
        <f t="shared" si="30"/>
        <v>0</v>
      </c>
      <c r="AB67" s="131">
        <f t="shared" si="7"/>
        <v>7949867.080000001</v>
      </c>
      <c r="AC67" s="131">
        <f t="shared" si="8"/>
        <v>7949867.080000001</v>
      </c>
      <c r="AD67" s="127">
        <f t="shared" si="9"/>
        <v>7259405.2243678411</v>
      </c>
      <c r="AE67" s="132">
        <f t="shared" si="31"/>
        <v>690462</v>
      </c>
      <c r="AF67" s="131">
        <f t="shared" si="10"/>
        <v>178</v>
      </c>
      <c r="AG67" s="133">
        <f t="shared" si="32"/>
        <v>8.6900000000000005E-2</v>
      </c>
      <c r="AH67" s="132">
        <f t="shared" si="11"/>
        <v>11659081</v>
      </c>
      <c r="AI67" s="131">
        <f t="shared" si="12"/>
        <v>2998</v>
      </c>
      <c r="AJ67" s="132">
        <f>'3A_Level 3'!J67</f>
        <v>666408</v>
      </c>
      <c r="AK67" s="131">
        <f t="shared" si="13"/>
        <v>171.35716122396502</v>
      </c>
      <c r="AL67" s="132">
        <f t="shared" si="33"/>
        <v>12325489</v>
      </c>
      <c r="AM67" s="131">
        <f t="shared" si="14"/>
        <v>3169.3209051169965</v>
      </c>
      <c r="AN67" s="134">
        <f>'3A_Level 3'!K67</f>
        <v>3908706</v>
      </c>
      <c r="AO67" s="135">
        <f t="shared" si="15"/>
        <v>1005.0671123682181</v>
      </c>
      <c r="AP67" s="132">
        <f t="shared" si="34"/>
        <v>15567787</v>
      </c>
      <c r="AQ67" s="131">
        <f t="shared" si="16"/>
        <v>4003.0308562612495</v>
      </c>
      <c r="AR67" s="133">
        <f t="shared" si="35"/>
        <v>0.43326899516143347</v>
      </c>
      <c r="AS67" s="136">
        <f t="shared" si="36"/>
        <v>59</v>
      </c>
      <c r="AT67" s="131">
        <f t="shared" si="17"/>
        <v>20363210.079999998</v>
      </c>
      <c r="AU67" s="131">
        <f t="shared" si="18"/>
        <v>5236.1000000000004</v>
      </c>
      <c r="AV67" s="136">
        <f t="shared" si="37"/>
        <v>12</v>
      </c>
      <c r="AW67" s="133">
        <f t="shared" si="38"/>
        <v>0.56673100483856653</v>
      </c>
      <c r="AX67" s="135">
        <f t="shared" si="39"/>
        <v>35930997.079999998</v>
      </c>
      <c r="AY67" s="135">
        <f t="shared" si="19"/>
        <v>9239.1352738493188</v>
      </c>
      <c r="AZ67" s="136">
        <f t="shared" si="40"/>
        <v>54</v>
      </c>
    </row>
    <row r="68" spans="1:52" ht="15.6" customHeight="1" x14ac:dyDescent="0.2">
      <c r="A68" s="121">
        <v>62</v>
      </c>
      <c r="B68" s="122" t="s">
        <v>192</v>
      </c>
      <c r="C68" s="137">
        <f>'8_2.1.21 SIS'!AV68</f>
        <v>1837</v>
      </c>
      <c r="D68" s="123">
        <v>1396</v>
      </c>
      <c r="E68" s="123">
        <f t="shared" si="20"/>
        <v>307.12</v>
      </c>
      <c r="F68" s="124">
        <v>781.5</v>
      </c>
      <c r="G68" s="123">
        <f t="shared" si="21"/>
        <v>46.89</v>
      </c>
      <c r="H68" s="123">
        <v>258</v>
      </c>
      <c r="I68" s="123">
        <f t="shared" si="22"/>
        <v>387</v>
      </c>
      <c r="J68" s="123">
        <v>1</v>
      </c>
      <c r="K68" s="123">
        <f t="shared" si="23"/>
        <v>0.6</v>
      </c>
      <c r="L68" s="123">
        <f t="shared" si="1"/>
        <v>5663</v>
      </c>
      <c r="M68" s="126">
        <f t="shared" si="2"/>
        <v>0.15101000000000001</v>
      </c>
      <c r="N68" s="123">
        <f t="shared" si="3"/>
        <v>277.40537</v>
      </c>
      <c r="O68" s="123">
        <f t="shared" si="24"/>
        <v>1019.0153700000001</v>
      </c>
      <c r="P68" s="123">
        <f t="shared" si="4"/>
        <v>2856.0153700000001</v>
      </c>
      <c r="Q68" s="127">
        <f t="shared" si="25"/>
        <v>4015</v>
      </c>
      <c r="R68" s="127">
        <f t="shared" si="5"/>
        <v>11466902</v>
      </c>
      <c r="S68" s="127">
        <f>'6_Local Deduct Calc'!J68</f>
        <v>2035860</v>
      </c>
      <c r="T68" s="127">
        <f t="shared" si="26"/>
        <v>2035860</v>
      </c>
      <c r="U68" s="128">
        <f t="shared" si="27"/>
        <v>9431042</v>
      </c>
      <c r="V68" s="129">
        <f t="shared" si="41"/>
        <v>0.82250000000000001</v>
      </c>
      <c r="W68" s="129">
        <f t="shared" si="28"/>
        <v>0.17749999999999999</v>
      </c>
      <c r="X68" s="130">
        <f t="shared" si="6"/>
        <v>1108.2525857376156</v>
      </c>
      <c r="Y68" s="127">
        <f>'7_Local Revenue'!AS68</f>
        <v>4846065</v>
      </c>
      <c r="Z68" s="127">
        <f t="shared" si="29"/>
        <v>2810205</v>
      </c>
      <c r="AA68" s="131">
        <f t="shared" si="30"/>
        <v>0</v>
      </c>
      <c r="AB68" s="131">
        <f t="shared" si="7"/>
        <v>3898746.68</v>
      </c>
      <c r="AC68" s="131">
        <f t="shared" si="8"/>
        <v>2810205</v>
      </c>
      <c r="AD68" s="127">
        <f t="shared" si="9"/>
        <v>857955.58649999986</v>
      </c>
      <c r="AE68" s="132">
        <f t="shared" si="31"/>
        <v>1952249</v>
      </c>
      <c r="AF68" s="131">
        <f t="shared" si="10"/>
        <v>1063</v>
      </c>
      <c r="AG68" s="133">
        <f t="shared" si="32"/>
        <v>0.69469999999999998</v>
      </c>
      <c r="AH68" s="132">
        <f t="shared" si="11"/>
        <v>11383291</v>
      </c>
      <c r="AI68" s="131">
        <f t="shared" si="12"/>
        <v>6197</v>
      </c>
      <c r="AJ68" s="132">
        <f>'3A_Level 3'!J68</f>
        <v>314783</v>
      </c>
      <c r="AK68" s="131">
        <f t="shared" si="13"/>
        <v>171.35710397387044</v>
      </c>
      <c r="AL68" s="132">
        <f t="shared" si="33"/>
        <v>11698074</v>
      </c>
      <c r="AM68" s="131">
        <f t="shared" si="14"/>
        <v>6368.0315732172021</v>
      </c>
      <c r="AN68" s="134">
        <f>'3A_Level 3'!K68</f>
        <v>1262822</v>
      </c>
      <c r="AO68" s="135">
        <f t="shared" si="15"/>
        <v>687.43712574850304</v>
      </c>
      <c r="AP68" s="132">
        <f t="shared" si="34"/>
        <v>12646113</v>
      </c>
      <c r="AQ68" s="131">
        <f t="shared" si="16"/>
        <v>6884.1115949918349</v>
      </c>
      <c r="AR68" s="133">
        <f t="shared" si="35"/>
        <v>0.72295817021756814</v>
      </c>
      <c r="AS68" s="136">
        <f t="shared" si="36"/>
        <v>5</v>
      </c>
      <c r="AT68" s="131">
        <f t="shared" si="17"/>
        <v>4846065</v>
      </c>
      <c r="AU68" s="131">
        <f t="shared" si="18"/>
        <v>2638.03</v>
      </c>
      <c r="AV68" s="136">
        <f t="shared" si="37"/>
        <v>65</v>
      </c>
      <c r="AW68" s="133">
        <f t="shared" si="38"/>
        <v>0.27704182978243191</v>
      </c>
      <c r="AX68" s="135">
        <f t="shared" si="39"/>
        <v>17492178</v>
      </c>
      <c r="AY68" s="135">
        <f t="shared" si="19"/>
        <v>9522.1437125748507</v>
      </c>
      <c r="AZ68" s="136">
        <f t="shared" si="40"/>
        <v>43</v>
      </c>
    </row>
    <row r="69" spans="1:52" ht="15.6" customHeight="1" x14ac:dyDescent="0.2">
      <c r="A69" s="121">
        <v>63</v>
      </c>
      <c r="B69" s="122" t="s">
        <v>193</v>
      </c>
      <c r="C69" s="137">
        <f>'8_2.1.21 SIS'!AV69</f>
        <v>2069</v>
      </c>
      <c r="D69" s="123">
        <v>1008</v>
      </c>
      <c r="E69" s="123">
        <f t="shared" si="20"/>
        <v>221.76</v>
      </c>
      <c r="F69" s="124">
        <v>1305</v>
      </c>
      <c r="G69" s="123">
        <f t="shared" si="21"/>
        <v>78.3</v>
      </c>
      <c r="H69" s="123">
        <v>311</v>
      </c>
      <c r="I69" s="123">
        <f t="shared" si="22"/>
        <v>466.5</v>
      </c>
      <c r="J69" s="123">
        <v>131</v>
      </c>
      <c r="K69" s="123">
        <f t="shared" si="23"/>
        <v>78.599999999999994</v>
      </c>
      <c r="L69" s="123">
        <f t="shared" si="1"/>
        <v>5431</v>
      </c>
      <c r="M69" s="126">
        <f t="shared" si="2"/>
        <v>0.14482999999999999</v>
      </c>
      <c r="N69" s="123">
        <f t="shared" si="3"/>
        <v>299.65326999999996</v>
      </c>
      <c r="O69" s="123">
        <f t="shared" si="24"/>
        <v>1144.8132699999999</v>
      </c>
      <c r="P69" s="123">
        <f t="shared" si="4"/>
        <v>3213.8132699999996</v>
      </c>
      <c r="Q69" s="127">
        <f t="shared" si="25"/>
        <v>4015</v>
      </c>
      <c r="R69" s="127">
        <f t="shared" si="5"/>
        <v>12903460</v>
      </c>
      <c r="S69" s="127">
        <f>'6_Local Deduct Calc'!J69</f>
        <v>7259106</v>
      </c>
      <c r="T69" s="127">
        <f t="shared" si="26"/>
        <v>7259106</v>
      </c>
      <c r="U69" s="128">
        <f t="shared" si="27"/>
        <v>5644354</v>
      </c>
      <c r="V69" s="129">
        <f t="shared" si="41"/>
        <v>0.43740000000000001</v>
      </c>
      <c r="W69" s="129">
        <f t="shared" si="28"/>
        <v>0.56259999999999999</v>
      </c>
      <c r="X69" s="130">
        <f t="shared" si="6"/>
        <v>3508.5094248429191</v>
      </c>
      <c r="Y69" s="127">
        <f>'7_Local Revenue'!AS69</f>
        <v>22356784</v>
      </c>
      <c r="Z69" s="127">
        <f t="shared" si="29"/>
        <v>15097678</v>
      </c>
      <c r="AA69" s="131">
        <f t="shared" si="30"/>
        <v>0</v>
      </c>
      <c r="AB69" s="131">
        <f t="shared" si="7"/>
        <v>4387176.4000000004</v>
      </c>
      <c r="AC69" s="131">
        <f t="shared" si="8"/>
        <v>4387176.4000000004</v>
      </c>
      <c r="AD69" s="127">
        <f t="shared" si="9"/>
        <v>4245347.7613408007</v>
      </c>
      <c r="AE69" s="132">
        <f t="shared" si="31"/>
        <v>141829</v>
      </c>
      <c r="AF69" s="131">
        <f t="shared" si="10"/>
        <v>69</v>
      </c>
      <c r="AG69" s="133">
        <f t="shared" si="32"/>
        <v>3.2300000000000002E-2</v>
      </c>
      <c r="AH69" s="132">
        <f t="shared" si="11"/>
        <v>5786183</v>
      </c>
      <c r="AI69" s="131">
        <f t="shared" si="12"/>
        <v>2797</v>
      </c>
      <c r="AJ69" s="132">
        <f>'3A_Level 3'!J69</f>
        <v>887056</v>
      </c>
      <c r="AK69" s="131">
        <f t="shared" si="13"/>
        <v>428.73658772353792</v>
      </c>
      <c r="AL69" s="132">
        <f t="shared" si="33"/>
        <v>6673239</v>
      </c>
      <c r="AM69" s="131">
        <f t="shared" si="14"/>
        <v>3225.3450942484292</v>
      </c>
      <c r="AN69" s="134">
        <f>'3A_Level 3'!K69</f>
        <v>2452855</v>
      </c>
      <c r="AO69" s="135">
        <f t="shared" si="15"/>
        <v>1185.5268245529242</v>
      </c>
      <c r="AP69" s="132">
        <f t="shared" si="34"/>
        <v>8239038</v>
      </c>
      <c r="AQ69" s="131">
        <f t="shared" si="16"/>
        <v>3982.1353310778154</v>
      </c>
      <c r="AR69" s="133">
        <f t="shared" si="35"/>
        <v>0.41432764643812331</v>
      </c>
      <c r="AS69" s="136">
        <f t="shared" si="36"/>
        <v>61</v>
      </c>
      <c r="AT69" s="131">
        <f t="shared" si="17"/>
        <v>11646282.4</v>
      </c>
      <c r="AU69" s="131">
        <f t="shared" si="18"/>
        <v>5628.94</v>
      </c>
      <c r="AV69" s="136">
        <f t="shared" si="37"/>
        <v>9</v>
      </c>
      <c r="AW69" s="133">
        <f t="shared" si="38"/>
        <v>0.58567235356187675</v>
      </c>
      <c r="AX69" s="135">
        <f t="shared" si="39"/>
        <v>19885320.399999999</v>
      </c>
      <c r="AY69" s="135">
        <f t="shared" si="19"/>
        <v>9611.0780086998548</v>
      </c>
      <c r="AZ69" s="136">
        <f t="shared" si="40"/>
        <v>36</v>
      </c>
    </row>
    <row r="70" spans="1:52" ht="15.6" customHeight="1" x14ac:dyDescent="0.2">
      <c r="A70" s="121">
        <v>64</v>
      </c>
      <c r="B70" s="122" t="s">
        <v>194</v>
      </c>
      <c r="C70" s="137">
        <f>'8_2.1.21 SIS'!AV70</f>
        <v>1894</v>
      </c>
      <c r="D70" s="123">
        <v>1518</v>
      </c>
      <c r="E70" s="123">
        <f t="shared" si="20"/>
        <v>333.96</v>
      </c>
      <c r="F70" s="124">
        <v>1524</v>
      </c>
      <c r="G70" s="123">
        <f t="shared" si="21"/>
        <v>91.44</v>
      </c>
      <c r="H70" s="123">
        <v>297</v>
      </c>
      <c r="I70" s="123">
        <f t="shared" si="22"/>
        <v>445.5</v>
      </c>
      <c r="J70" s="123">
        <v>50</v>
      </c>
      <c r="K70" s="123">
        <f t="shared" si="23"/>
        <v>30</v>
      </c>
      <c r="L70" s="123">
        <f t="shared" si="1"/>
        <v>5606</v>
      </c>
      <c r="M70" s="126">
        <f t="shared" si="2"/>
        <v>0.14949000000000001</v>
      </c>
      <c r="N70" s="123">
        <f t="shared" si="3"/>
        <v>283.13406000000003</v>
      </c>
      <c r="O70" s="123">
        <f t="shared" si="24"/>
        <v>1184.03406</v>
      </c>
      <c r="P70" s="123">
        <f t="shared" si="4"/>
        <v>3078.03406</v>
      </c>
      <c r="Q70" s="127">
        <f t="shared" si="25"/>
        <v>4015</v>
      </c>
      <c r="R70" s="127">
        <f t="shared" si="5"/>
        <v>12358307</v>
      </c>
      <c r="S70" s="127">
        <f>'6_Local Deduct Calc'!J70</f>
        <v>2733606</v>
      </c>
      <c r="T70" s="127">
        <f t="shared" si="26"/>
        <v>2733606</v>
      </c>
      <c r="U70" s="128">
        <f t="shared" si="27"/>
        <v>9624701</v>
      </c>
      <c r="V70" s="129">
        <f t="shared" si="41"/>
        <v>0.77880000000000005</v>
      </c>
      <c r="W70" s="129">
        <f t="shared" si="28"/>
        <v>0.22120000000000001</v>
      </c>
      <c r="X70" s="130">
        <f t="shared" si="6"/>
        <v>1443.297782470961</v>
      </c>
      <c r="Y70" s="127">
        <f>'7_Local Revenue'!AS70</f>
        <v>6672127</v>
      </c>
      <c r="Z70" s="127">
        <f t="shared" si="29"/>
        <v>3938521</v>
      </c>
      <c r="AA70" s="131">
        <f t="shared" si="30"/>
        <v>0</v>
      </c>
      <c r="AB70" s="131">
        <f t="shared" si="7"/>
        <v>4201824.38</v>
      </c>
      <c r="AC70" s="131">
        <f t="shared" si="8"/>
        <v>3938521</v>
      </c>
      <c r="AD70" s="127">
        <f t="shared" si="9"/>
        <v>1498465.4537440001</v>
      </c>
      <c r="AE70" s="132">
        <f t="shared" si="31"/>
        <v>2440056</v>
      </c>
      <c r="AF70" s="131">
        <f t="shared" si="10"/>
        <v>1288</v>
      </c>
      <c r="AG70" s="133">
        <f t="shared" si="32"/>
        <v>0.61950000000000005</v>
      </c>
      <c r="AH70" s="132">
        <f t="shared" si="11"/>
        <v>12064757</v>
      </c>
      <c r="AI70" s="131">
        <f t="shared" si="12"/>
        <v>6370</v>
      </c>
      <c r="AJ70" s="132">
        <f>'3A_Level 3'!J70</f>
        <v>324551</v>
      </c>
      <c r="AK70" s="131">
        <f t="shared" si="13"/>
        <v>171.35744456177403</v>
      </c>
      <c r="AL70" s="132">
        <f t="shared" si="33"/>
        <v>12389308</v>
      </c>
      <c r="AM70" s="131">
        <f t="shared" si="14"/>
        <v>6541.3453009503692</v>
      </c>
      <c r="AN70" s="134">
        <f>'3A_Level 3'!K70</f>
        <v>1447049</v>
      </c>
      <c r="AO70" s="135">
        <f t="shared" si="15"/>
        <v>764.01742344244985</v>
      </c>
      <c r="AP70" s="132">
        <f t="shared" si="34"/>
        <v>13511806</v>
      </c>
      <c r="AQ70" s="131">
        <f t="shared" si="16"/>
        <v>7134.0052798310453</v>
      </c>
      <c r="AR70" s="133">
        <f t="shared" si="35"/>
        <v>0.66943375208389766</v>
      </c>
      <c r="AS70" s="136">
        <f t="shared" si="36"/>
        <v>23</v>
      </c>
      <c r="AT70" s="131">
        <f t="shared" si="17"/>
        <v>6672127</v>
      </c>
      <c r="AU70" s="131">
        <f t="shared" si="18"/>
        <v>3522.77</v>
      </c>
      <c r="AV70" s="136">
        <f t="shared" si="37"/>
        <v>40</v>
      </c>
      <c r="AW70" s="133">
        <f t="shared" si="38"/>
        <v>0.3305662479161024</v>
      </c>
      <c r="AX70" s="135">
        <f t="shared" si="39"/>
        <v>20183933</v>
      </c>
      <c r="AY70" s="135">
        <f t="shared" si="19"/>
        <v>10656.775607180571</v>
      </c>
      <c r="AZ70" s="136">
        <f t="shared" si="40"/>
        <v>10</v>
      </c>
    </row>
    <row r="71" spans="1:52" ht="15.6" customHeight="1" x14ac:dyDescent="0.2">
      <c r="A71" s="138">
        <v>65</v>
      </c>
      <c r="B71" s="139" t="s">
        <v>195</v>
      </c>
      <c r="C71" s="140">
        <f>'8_2.1.21 SIS'!AV71</f>
        <v>7823</v>
      </c>
      <c r="D71" s="141">
        <v>6681</v>
      </c>
      <c r="E71" s="141">
        <f t="shared" si="20"/>
        <v>1469.82</v>
      </c>
      <c r="F71" s="142">
        <v>3243.5</v>
      </c>
      <c r="G71" s="141">
        <f t="shared" si="21"/>
        <v>194.60999999999999</v>
      </c>
      <c r="H71" s="141">
        <v>1265</v>
      </c>
      <c r="I71" s="141">
        <f t="shared" si="22"/>
        <v>1897.5</v>
      </c>
      <c r="J71" s="141">
        <v>746</v>
      </c>
      <c r="K71" s="141">
        <f t="shared" si="23"/>
        <v>447.59999999999997</v>
      </c>
      <c r="L71" s="141">
        <f t="shared" ref="L71:L75" si="42">IF(C71&lt;$L$1,$L$1-C71,0)</f>
        <v>0</v>
      </c>
      <c r="M71" s="143">
        <f>ROUND(L71/$M$1,5)</f>
        <v>0</v>
      </c>
      <c r="N71" s="141">
        <f>C71*M71</f>
        <v>0</v>
      </c>
      <c r="O71" s="141">
        <f t="shared" si="24"/>
        <v>4009.5299999999997</v>
      </c>
      <c r="P71" s="144">
        <f>O71+C71</f>
        <v>11832.529999999999</v>
      </c>
      <c r="Q71" s="145">
        <f t="shared" si="25"/>
        <v>4015</v>
      </c>
      <c r="R71" s="145">
        <f>ROUND(P71*Q71,0)</f>
        <v>47507608</v>
      </c>
      <c r="S71" s="145">
        <f>'6_Local Deduct Calc'!J71</f>
        <v>15653872</v>
      </c>
      <c r="T71" s="145">
        <f t="shared" si="26"/>
        <v>15653872</v>
      </c>
      <c r="U71" s="146">
        <f t="shared" si="27"/>
        <v>31853736</v>
      </c>
      <c r="V71" s="147">
        <f t="shared" si="41"/>
        <v>0.67049999999999998</v>
      </c>
      <c r="W71" s="148">
        <f t="shared" si="28"/>
        <v>0.32950000000000002</v>
      </c>
      <c r="X71" s="149">
        <f t="shared" ref="X71:X76" si="43">T71/C71</f>
        <v>2001.0062635817462</v>
      </c>
      <c r="Y71" s="145">
        <f>'7_Local Revenue'!AS71</f>
        <v>42426836</v>
      </c>
      <c r="Z71" s="145">
        <f t="shared" si="29"/>
        <v>26772964</v>
      </c>
      <c r="AA71" s="150">
        <f t="shared" si="30"/>
        <v>0</v>
      </c>
      <c r="AB71" s="150">
        <f t="shared" ref="AB71:AB75" si="44">R71*$AB$1</f>
        <v>16152586.720000001</v>
      </c>
      <c r="AC71" s="150">
        <f>IF(Z71&lt;AB71,Z71,AB71)</f>
        <v>16152586.720000001</v>
      </c>
      <c r="AD71" s="145">
        <f>IF(AC71&gt;0,AC71*(W71*$AD$1),0)</f>
        <v>9154316.9976928011</v>
      </c>
      <c r="AE71" s="151">
        <f t="shared" si="31"/>
        <v>6998270</v>
      </c>
      <c r="AF71" s="150">
        <f t="shared" ref="AF71:AF76" si="45">ROUND(AE71/C71,0)</f>
        <v>895</v>
      </c>
      <c r="AG71" s="152">
        <f t="shared" si="32"/>
        <v>0.43330000000000002</v>
      </c>
      <c r="AH71" s="151">
        <f t="shared" ref="AH71:AH75" si="46">U71+AE71</f>
        <v>38852006</v>
      </c>
      <c r="AI71" s="150">
        <f t="shared" ref="AI71:AI76" si="47">ROUND(AH71/C71,0)</f>
        <v>4966</v>
      </c>
      <c r="AJ71" s="151">
        <f>'3A_Level 3'!J71</f>
        <v>1340528</v>
      </c>
      <c r="AK71" s="150">
        <f t="shared" ref="AK71:AK76" si="48">AJ71/C71</f>
        <v>171.3572798159274</v>
      </c>
      <c r="AL71" s="151">
        <f t="shared" si="33"/>
        <v>40192534</v>
      </c>
      <c r="AM71" s="150">
        <f t="shared" ref="AM71:AM76" si="49">AL71/C71</f>
        <v>5137.7392304742425</v>
      </c>
      <c r="AN71" s="153">
        <f>'3A_Level 3'!K71</f>
        <v>7826734</v>
      </c>
      <c r="AO71" s="154">
        <f t="shared" ref="AO71:AO76" si="50">AN71/C71</f>
        <v>1000.4773104946951</v>
      </c>
      <c r="AP71" s="151">
        <f t="shared" si="34"/>
        <v>46678740</v>
      </c>
      <c r="AQ71" s="150">
        <f t="shared" ref="AQ71:AQ76" si="51">AP71/C71</f>
        <v>5966.8592611530103</v>
      </c>
      <c r="AR71" s="152">
        <f t="shared" si="35"/>
        <v>0.59474577068383072</v>
      </c>
      <c r="AS71" s="155">
        <f t="shared" si="36"/>
        <v>43</v>
      </c>
      <c r="AT71" s="150">
        <f t="shared" ref="AT71:AT75" si="52">ROUND(AC71+T71,2)</f>
        <v>31806458.719999999</v>
      </c>
      <c r="AU71" s="150">
        <f t="shared" ref="AU71:AU76" si="53">ROUND(AT71/C71,2)</f>
        <v>4065.76</v>
      </c>
      <c r="AV71" s="155">
        <f t="shared" si="37"/>
        <v>26</v>
      </c>
      <c r="AW71" s="152">
        <f t="shared" si="38"/>
        <v>0.40525422931616933</v>
      </c>
      <c r="AX71" s="154">
        <f t="shared" si="39"/>
        <v>78485198.719999999</v>
      </c>
      <c r="AY71" s="154">
        <f t="shared" ref="AY71:AY76" si="54">AX71/C71</f>
        <v>10032.621592739359</v>
      </c>
      <c r="AZ71" s="155">
        <f t="shared" si="40"/>
        <v>23</v>
      </c>
    </row>
    <row r="72" spans="1:52" ht="15.6" customHeight="1" x14ac:dyDescent="0.2">
      <c r="A72" s="121">
        <v>66</v>
      </c>
      <c r="B72" s="122" t="s">
        <v>196</v>
      </c>
      <c r="C72" s="123">
        <f>'8_2.1.21 SIS'!AV72</f>
        <v>1886</v>
      </c>
      <c r="D72" s="123">
        <v>1792</v>
      </c>
      <c r="E72" s="123">
        <f>$D$1*D72</f>
        <v>394.24</v>
      </c>
      <c r="F72" s="124">
        <v>1136.5</v>
      </c>
      <c r="G72" s="123">
        <f>$F$1*F72</f>
        <v>68.19</v>
      </c>
      <c r="H72" s="123">
        <v>360</v>
      </c>
      <c r="I72" s="123">
        <f>$H$1*H72</f>
        <v>540</v>
      </c>
      <c r="J72" s="123">
        <v>171</v>
      </c>
      <c r="K72" s="123">
        <f>$J$1*J72</f>
        <v>102.6</v>
      </c>
      <c r="L72" s="125">
        <f t="shared" si="42"/>
        <v>5614</v>
      </c>
      <c r="M72" s="126">
        <f>ROUND(L72/$M$1,5)</f>
        <v>0.14971000000000001</v>
      </c>
      <c r="N72" s="123">
        <f>C72*M72</f>
        <v>282.35306000000003</v>
      </c>
      <c r="O72" s="123">
        <f>E72+G72+I72+K72+N72</f>
        <v>1387.3830600000001</v>
      </c>
      <c r="P72" s="123">
        <f>O72+C72</f>
        <v>3273.3830600000001</v>
      </c>
      <c r="Q72" s="127">
        <f>$Q$1</f>
        <v>4015</v>
      </c>
      <c r="R72" s="127">
        <f>ROUND(P72*Q72,0)</f>
        <v>13142633</v>
      </c>
      <c r="S72" s="127">
        <f>'6_Local Deduct Calc'!J72</f>
        <v>3579276</v>
      </c>
      <c r="T72" s="127">
        <f>ROUND(IF((S72&gt;R72*$T$1),R72*$T$1,S72),0)</f>
        <v>3579276</v>
      </c>
      <c r="U72" s="128">
        <f>R72-T72</f>
        <v>9563357</v>
      </c>
      <c r="V72" s="129">
        <f>ROUND(U72/R72,4)</f>
        <v>0.72770000000000001</v>
      </c>
      <c r="W72" s="129">
        <f>ROUND(T72/R72,4)</f>
        <v>0.27229999999999999</v>
      </c>
      <c r="X72" s="130">
        <f t="shared" si="43"/>
        <v>1897.8133616118771</v>
      </c>
      <c r="Y72" s="127">
        <f>'7_Local Revenue'!AS72</f>
        <v>8855928</v>
      </c>
      <c r="Z72" s="127">
        <f>IF(Y72-T72&gt;0,Y72-T72,0)</f>
        <v>5276652</v>
      </c>
      <c r="AA72" s="131">
        <f>IF(Y72-T72&lt;0,Y72-T72,0)</f>
        <v>0</v>
      </c>
      <c r="AB72" s="131">
        <f t="shared" si="44"/>
        <v>4468495.2200000007</v>
      </c>
      <c r="AC72" s="131">
        <f>IF(Z72&lt;AB72,Z72,AB72)</f>
        <v>4468495.2200000007</v>
      </c>
      <c r="AD72" s="127">
        <f>IF(AC72&gt;0,AC72*(W72*$AD$1),0)</f>
        <v>2092846.5472583203</v>
      </c>
      <c r="AE72" s="132">
        <f>ROUND(IF(AC72-AD72&gt;AC72*$AE$1,AC72-AD72,AC72*$AE$1),0)</f>
        <v>2375649</v>
      </c>
      <c r="AF72" s="131">
        <f t="shared" si="45"/>
        <v>1260</v>
      </c>
      <c r="AG72" s="133">
        <f>IF(AC72=0,0,ROUND(AE72/AC72,4))</f>
        <v>0.53159999999999996</v>
      </c>
      <c r="AH72" s="132">
        <f t="shared" si="46"/>
        <v>11939006</v>
      </c>
      <c r="AI72" s="131">
        <f t="shared" si="47"/>
        <v>6330</v>
      </c>
      <c r="AJ72" s="132">
        <f>'3A_Level 3'!J72</f>
        <v>323180</v>
      </c>
      <c r="AK72" s="131">
        <f t="shared" si="48"/>
        <v>171.35737009544007</v>
      </c>
      <c r="AL72" s="132">
        <f>AJ72+AH72</f>
        <v>12262186</v>
      </c>
      <c r="AM72" s="131">
        <f t="shared" si="49"/>
        <v>6501.6892895015908</v>
      </c>
      <c r="AN72" s="134">
        <f>'3A_Level 3'!K72</f>
        <v>1700073</v>
      </c>
      <c r="AO72" s="135">
        <f t="shared" si="50"/>
        <v>901.41728525980909</v>
      </c>
      <c r="AP72" s="132">
        <f>AH72+AN72</f>
        <v>13639079</v>
      </c>
      <c r="AQ72" s="131">
        <f t="shared" si="51"/>
        <v>7231.74920466596</v>
      </c>
      <c r="AR72" s="133">
        <f t="shared" ref="AR72:AR75" si="55">AP72/AX72</f>
        <v>0.62891009351933458</v>
      </c>
      <c r="AS72" s="136">
        <f>RANK(AR72,$AR$7:$AR$75)</f>
        <v>36</v>
      </c>
      <c r="AT72" s="131">
        <f t="shared" si="52"/>
        <v>8047771.2199999997</v>
      </c>
      <c r="AU72" s="131">
        <f t="shared" si="53"/>
        <v>4267.1099999999997</v>
      </c>
      <c r="AV72" s="136">
        <f>RANK(AU72,$AU$7:$AU$75)</f>
        <v>19</v>
      </c>
      <c r="AW72" s="133">
        <f t="shared" ref="AW72:AW75" si="56">AT72/AX72</f>
        <v>0.37108990648066553</v>
      </c>
      <c r="AX72" s="135">
        <f t="shared" ref="AX72:AX75" si="57">AP72+AT72</f>
        <v>21686850.219999999</v>
      </c>
      <c r="AY72" s="135">
        <f t="shared" si="54"/>
        <v>11498.860137857901</v>
      </c>
      <c r="AZ72" s="136">
        <f>RANK(AY72,$AY$7:$AY$75)</f>
        <v>3</v>
      </c>
    </row>
    <row r="73" spans="1:52" ht="15.6" customHeight="1" x14ac:dyDescent="0.2">
      <c r="A73" s="121">
        <v>67</v>
      </c>
      <c r="B73" s="122" t="s">
        <v>197</v>
      </c>
      <c r="C73" s="137">
        <f>'8_2.1.21 SIS'!AV73</f>
        <v>5371</v>
      </c>
      <c r="D73" s="123">
        <v>2766</v>
      </c>
      <c r="E73" s="123">
        <f>$D$1*D73</f>
        <v>608.52</v>
      </c>
      <c r="F73" s="124">
        <v>1714</v>
      </c>
      <c r="G73" s="123">
        <f>$F$1*F73</f>
        <v>102.83999999999999</v>
      </c>
      <c r="H73" s="123">
        <v>585</v>
      </c>
      <c r="I73" s="123">
        <f>$H$1*H73</f>
        <v>877.5</v>
      </c>
      <c r="J73" s="123">
        <v>417</v>
      </c>
      <c r="K73" s="123">
        <f>$J$1*J73</f>
        <v>250.2</v>
      </c>
      <c r="L73" s="123">
        <f t="shared" si="42"/>
        <v>2129</v>
      </c>
      <c r="M73" s="126">
        <f>ROUND(L73/$M$1,5)</f>
        <v>5.6770000000000001E-2</v>
      </c>
      <c r="N73" s="123">
        <f>C73*M73</f>
        <v>304.91167000000002</v>
      </c>
      <c r="O73" s="123">
        <f>E73+G73+I73+K73+N73</f>
        <v>2143.9716700000004</v>
      </c>
      <c r="P73" s="123">
        <f>O73+C73</f>
        <v>7514.9716700000008</v>
      </c>
      <c r="Q73" s="127">
        <f>$Q$1</f>
        <v>4015</v>
      </c>
      <c r="R73" s="127">
        <f>ROUND(P73*Q73,0)</f>
        <v>30172611</v>
      </c>
      <c r="S73" s="127">
        <f>'6_Local Deduct Calc'!J73</f>
        <v>7937642</v>
      </c>
      <c r="T73" s="127">
        <f>ROUND(IF((S73&gt;R73*$T$1),R73*$T$1,S73),0)</f>
        <v>7937642</v>
      </c>
      <c r="U73" s="128">
        <f>R73-T73</f>
        <v>22234969</v>
      </c>
      <c r="V73" s="129">
        <f>ROUND(U73/R73,4)</f>
        <v>0.7369</v>
      </c>
      <c r="W73" s="129">
        <f>ROUND(T73/R73,4)</f>
        <v>0.2631</v>
      </c>
      <c r="X73" s="130">
        <f t="shared" si="43"/>
        <v>1477.8704151927016</v>
      </c>
      <c r="Y73" s="127">
        <f>'7_Local Revenue'!AS73</f>
        <v>32489912</v>
      </c>
      <c r="Z73" s="127">
        <f>IF(Y73-T73&gt;0,Y73-T73,0)</f>
        <v>24552270</v>
      </c>
      <c r="AA73" s="131">
        <f>IF(Y73-T73&lt;0,Y73-T73,0)</f>
        <v>0</v>
      </c>
      <c r="AB73" s="131">
        <f t="shared" si="44"/>
        <v>10258687.74</v>
      </c>
      <c r="AC73" s="131">
        <f>IF(Z73&lt;AB73,Z73,AB73)</f>
        <v>10258687.74</v>
      </c>
      <c r="AD73" s="127">
        <f>IF(AC73&gt;0,AC73*(W73*$AD$1),0)</f>
        <v>4642384.4803576795</v>
      </c>
      <c r="AE73" s="132">
        <f>ROUND(IF(AC73-AD73&gt;AC73*$AE$1,AC73-AD73,AC73*$AE$1),0)</f>
        <v>5616303</v>
      </c>
      <c r="AF73" s="131">
        <f t="shared" si="45"/>
        <v>1046</v>
      </c>
      <c r="AG73" s="133">
        <f>IF(AC73=0,0,ROUND(AE73/AC73,4))</f>
        <v>0.54749999999999999</v>
      </c>
      <c r="AH73" s="132">
        <f t="shared" si="46"/>
        <v>27851272</v>
      </c>
      <c r="AI73" s="131">
        <f t="shared" si="47"/>
        <v>5185</v>
      </c>
      <c r="AJ73" s="132">
        <f>'3A_Level 3'!J73</f>
        <v>920360</v>
      </c>
      <c r="AK73" s="131">
        <f t="shared" si="48"/>
        <v>171.35728914541053</v>
      </c>
      <c r="AL73" s="132">
        <f>AJ73+AH73</f>
        <v>28771632</v>
      </c>
      <c r="AM73" s="131">
        <f t="shared" si="49"/>
        <v>5356.8482591696147</v>
      </c>
      <c r="AN73" s="134">
        <f>'3A_Level 3'!K73</f>
        <v>4763901</v>
      </c>
      <c r="AO73" s="135">
        <f t="shared" si="50"/>
        <v>886.96723142803944</v>
      </c>
      <c r="AP73" s="132">
        <f>AH73+AN73</f>
        <v>32615173</v>
      </c>
      <c r="AQ73" s="131">
        <f t="shared" si="51"/>
        <v>6072.4582014522439</v>
      </c>
      <c r="AR73" s="133">
        <f t="shared" si="55"/>
        <v>0.64188562119271031</v>
      </c>
      <c r="AS73" s="136">
        <f>RANK(AR73,$AR$7:$AR$75)</f>
        <v>29</v>
      </c>
      <c r="AT73" s="131">
        <f t="shared" si="52"/>
        <v>18196329.739999998</v>
      </c>
      <c r="AU73" s="131">
        <f t="shared" si="53"/>
        <v>3387.88</v>
      </c>
      <c r="AV73" s="136">
        <f>RANK(AU73,$AU$7:$AU$75)</f>
        <v>48</v>
      </c>
      <c r="AW73" s="133">
        <f t="shared" si="56"/>
        <v>0.35811437880728975</v>
      </c>
      <c r="AX73" s="135">
        <f t="shared" si="57"/>
        <v>50811502.739999995</v>
      </c>
      <c r="AY73" s="135">
        <f t="shared" si="54"/>
        <v>9460.3430906721278</v>
      </c>
      <c r="AZ73" s="136">
        <f>RANK(AY73,$AY$7:$AY$75)</f>
        <v>46</v>
      </c>
    </row>
    <row r="74" spans="1:52" ht="15.6" customHeight="1" x14ac:dyDescent="0.2">
      <c r="A74" s="121">
        <v>68</v>
      </c>
      <c r="B74" s="122" t="s">
        <v>198</v>
      </c>
      <c r="C74" s="137">
        <f>'8_2.1.21 SIS'!AV74</f>
        <v>1543</v>
      </c>
      <c r="D74" s="123">
        <v>1439</v>
      </c>
      <c r="E74" s="123">
        <f>$D$1*D74</f>
        <v>316.58</v>
      </c>
      <c r="F74" s="124">
        <v>885.5</v>
      </c>
      <c r="G74" s="123">
        <f>$F$1*F74</f>
        <v>53.129999999999995</v>
      </c>
      <c r="H74" s="123">
        <v>159</v>
      </c>
      <c r="I74" s="123">
        <f>$H$1*H74</f>
        <v>238.5</v>
      </c>
      <c r="J74" s="123">
        <v>6</v>
      </c>
      <c r="K74" s="123">
        <f>$J$1*J74</f>
        <v>3.5999999999999996</v>
      </c>
      <c r="L74" s="123">
        <f t="shared" si="42"/>
        <v>5957</v>
      </c>
      <c r="M74" s="126">
        <f>ROUND(L74/$M$1,5)</f>
        <v>0.15884999999999999</v>
      </c>
      <c r="N74" s="123">
        <f>C74*M74</f>
        <v>245.10554999999999</v>
      </c>
      <c r="O74" s="123">
        <f>E74+G74+I74+K74+N74</f>
        <v>856.91555000000005</v>
      </c>
      <c r="P74" s="123">
        <f>O74+C74</f>
        <v>2399.9155500000002</v>
      </c>
      <c r="Q74" s="127">
        <f>$Q$1</f>
        <v>4015</v>
      </c>
      <c r="R74" s="127">
        <f>ROUND(P74*Q74,0)</f>
        <v>9635661</v>
      </c>
      <c r="S74" s="127">
        <f>'6_Local Deduct Calc'!J74</f>
        <v>2051658</v>
      </c>
      <c r="T74" s="127">
        <f>ROUND(IF((S74&gt;R74*$T$1),R74*$T$1,S74),0)</f>
        <v>2051658</v>
      </c>
      <c r="U74" s="128">
        <f>R74-T74</f>
        <v>7584003</v>
      </c>
      <c r="V74" s="129">
        <f>ROUND(U74/R74,4)</f>
        <v>0.78710000000000002</v>
      </c>
      <c r="W74" s="129">
        <f>ROUND(T74/R74,4)</f>
        <v>0.21290000000000001</v>
      </c>
      <c r="X74" s="130">
        <f t="shared" si="43"/>
        <v>1329.6552171095268</v>
      </c>
      <c r="Y74" s="127">
        <f>'7_Local Revenue'!AS74</f>
        <v>5863194</v>
      </c>
      <c r="Z74" s="127">
        <f>IF(Y74-T74&gt;0,Y74-T74,0)</f>
        <v>3811536</v>
      </c>
      <c r="AA74" s="131">
        <f>IF(Y74-T74&lt;0,Y74-T74,0)</f>
        <v>0</v>
      </c>
      <c r="AB74" s="131">
        <f t="shared" si="44"/>
        <v>3276124.74</v>
      </c>
      <c r="AC74" s="131">
        <f>IF(Z74&lt;AB74,Z74,AB74)</f>
        <v>3276124.74</v>
      </c>
      <c r="AD74" s="127">
        <f>IF(AC74&gt;0,AC74*(W74*$AD$1),0)</f>
        <v>1199677.5662911201</v>
      </c>
      <c r="AE74" s="132">
        <f>ROUND(IF(AC74-AD74&gt;AC74*$AE$1,AC74-AD74,AC74*$AE$1),0)</f>
        <v>2076447</v>
      </c>
      <c r="AF74" s="131">
        <f t="shared" si="45"/>
        <v>1346</v>
      </c>
      <c r="AG74" s="133">
        <f>IF(AC74=0,0,ROUND(AE74/AC74,4))</f>
        <v>0.63380000000000003</v>
      </c>
      <c r="AH74" s="132">
        <f t="shared" si="46"/>
        <v>9660450</v>
      </c>
      <c r="AI74" s="131">
        <f t="shared" si="47"/>
        <v>6261</v>
      </c>
      <c r="AJ74" s="132">
        <f>'3A_Level 3'!J74</f>
        <v>264404</v>
      </c>
      <c r="AK74" s="131">
        <f t="shared" si="48"/>
        <v>171.35709656513285</v>
      </c>
      <c r="AL74" s="132">
        <f>AJ74+AH74</f>
        <v>9924854</v>
      </c>
      <c r="AM74" s="131">
        <f t="shared" si="49"/>
        <v>6432.1801685029168</v>
      </c>
      <c r="AN74" s="134">
        <f>'3A_Level 3'!K74</f>
        <v>1496798</v>
      </c>
      <c r="AO74" s="135">
        <f t="shared" si="50"/>
        <v>970.05703175631891</v>
      </c>
      <c r="AP74" s="132">
        <f>AH74+AN74</f>
        <v>11157248</v>
      </c>
      <c r="AQ74" s="131">
        <f t="shared" si="51"/>
        <v>7230.8801036941022</v>
      </c>
      <c r="AR74" s="133">
        <f t="shared" si="55"/>
        <v>0.67681087017493791</v>
      </c>
      <c r="AS74" s="136">
        <f>RANK(AR74,$AR$7:$AR$75)</f>
        <v>18</v>
      </c>
      <c r="AT74" s="131">
        <f t="shared" si="52"/>
        <v>5327782.74</v>
      </c>
      <c r="AU74" s="131">
        <f t="shared" si="53"/>
        <v>3452.87</v>
      </c>
      <c r="AV74" s="136">
        <f>RANK(AU74,$AU$7:$AU$75)</f>
        <v>43</v>
      </c>
      <c r="AW74" s="133">
        <f t="shared" si="56"/>
        <v>0.32318912982506215</v>
      </c>
      <c r="AX74" s="135">
        <f t="shared" si="57"/>
        <v>16485030.74</v>
      </c>
      <c r="AY74" s="135">
        <f t="shared" si="54"/>
        <v>10683.752909915749</v>
      </c>
      <c r="AZ74" s="136">
        <f>RANK(AY74,$AY$7:$AY$75)</f>
        <v>9</v>
      </c>
    </row>
    <row r="75" spans="1:52" ht="15.6" customHeight="1" x14ac:dyDescent="0.2">
      <c r="A75" s="121">
        <v>69</v>
      </c>
      <c r="B75" s="122" t="s">
        <v>199</v>
      </c>
      <c r="C75" s="137">
        <f>'8_2.1.21 SIS'!AV75</f>
        <v>4760</v>
      </c>
      <c r="D75" s="123">
        <v>2403</v>
      </c>
      <c r="E75" s="123">
        <f>$D$1*D75</f>
        <v>528.66</v>
      </c>
      <c r="F75" s="124">
        <v>2104</v>
      </c>
      <c r="G75" s="123">
        <f>$F$1*F75</f>
        <v>126.24</v>
      </c>
      <c r="H75" s="123">
        <v>481</v>
      </c>
      <c r="I75" s="123">
        <f>$H$1*H75</f>
        <v>721.5</v>
      </c>
      <c r="J75" s="123">
        <v>386</v>
      </c>
      <c r="K75" s="123">
        <f>$J$1*J75</f>
        <v>231.6</v>
      </c>
      <c r="L75" s="123">
        <f t="shared" si="42"/>
        <v>2740</v>
      </c>
      <c r="M75" s="126">
        <f>ROUND(L75/$M$1,5)</f>
        <v>7.3069999999999996E-2</v>
      </c>
      <c r="N75" s="123">
        <f>C75*M75</f>
        <v>347.81319999999999</v>
      </c>
      <c r="O75" s="123">
        <f>E75+G75+I75+K75+N75</f>
        <v>1955.8132000000001</v>
      </c>
      <c r="P75" s="123">
        <f>O75+C75</f>
        <v>6715.8132000000005</v>
      </c>
      <c r="Q75" s="127">
        <f>$Q$1</f>
        <v>4015</v>
      </c>
      <c r="R75" s="127">
        <f>ROUND(P75*Q75,0)</f>
        <v>26963990</v>
      </c>
      <c r="S75" s="127">
        <f>'6_Local Deduct Calc'!J75</f>
        <v>5081223</v>
      </c>
      <c r="T75" s="127">
        <f>ROUND(IF((S75&gt;R75*$T$1),R75*$T$1,S75),0)</f>
        <v>5081223</v>
      </c>
      <c r="U75" s="128">
        <f>R75-T75</f>
        <v>21882767</v>
      </c>
      <c r="V75" s="129">
        <f>ROUND(U75/R75,4)</f>
        <v>0.81159999999999999</v>
      </c>
      <c r="W75" s="129">
        <f>ROUND(T75/R75,4)</f>
        <v>0.18840000000000001</v>
      </c>
      <c r="X75" s="130">
        <f t="shared" si="43"/>
        <v>1067.4838235294117</v>
      </c>
      <c r="Y75" s="127">
        <f>'7_Local Revenue'!AS75</f>
        <v>19134961</v>
      </c>
      <c r="Z75" s="127">
        <f>IF(Y75-T75&gt;0,Y75-T75,0)</f>
        <v>14053738</v>
      </c>
      <c r="AA75" s="131">
        <f>IF(Y75-T75&lt;0,Y75-T75,0)</f>
        <v>0</v>
      </c>
      <c r="AB75" s="131">
        <f t="shared" si="44"/>
        <v>9167756.6000000015</v>
      </c>
      <c r="AC75" s="131">
        <f>IF(Z75&lt;AB75,Z75,AB75)</f>
        <v>9167756.6000000015</v>
      </c>
      <c r="AD75" s="127">
        <f>IF(AC75&gt;0,AC75*(W75*$AD$1),0)</f>
        <v>2970793.1907168003</v>
      </c>
      <c r="AE75" s="132">
        <f>ROUND(IF(AC75-AD75&gt;AC75*$AE$1,AC75-AD75,AC75*$AE$1),0)</f>
        <v>6196963</v>
      </c>
      <c r="AF75" s="131">
        <f t="shared" si="45"/>
        <v>1302</v>
      </c>
      <c r="AG75" s="133">
        <f>IF(AC75=0,0,ROUND(AE75/AC75,4))</f>
        <v>0.67600000000000005</v>
      </c>
      <c r="AH75" s="132">
        <f t="shared" si="46"/>
        <v>28079730</v>
      </c>
      <c r="AI75" s="131">
        <f t="shared" si="47"/>
        <v>5899</v>
      </c>
      <c r="AJ75" s="132">
        <f>'3A_Level 3'!J75</f>
        <v>815661</v>
      </c>
      <c r="AK75" s="131">
        <f t="shared" si="48"/>
        <v>171.35735294117646</v>
      </c>
      <c r="AL75" s="132">
        <f>AJ75+AH75</f>
        <v>28895391</v>
      </c>
      <c r="AM75" s="131">
        <f t="shared" si="49"/>
        <v>6070.4602941176472</v>
      </c>
      <c r="AN75" s="134">
        <f>'3A_Level 3'!K75</f>
        <v>4174650</v>
      </c>
      <c r="AO75" s="135">
        <f t="shared" si="50"/>
        <v>877.02731092436977</v>
      </c>
      <c r="AP75" s="132">
        <f>AH75+AN75</f>
        <v>32254380</v>
      </c>
      <c r="AQ75" s="131">
        <f t="shared" si="51"/>
        <v>6776.1302521008402</v>
      </c>
      <c r="AR75" s="133">
        <f t="shared" si="55"/>
        <v>0.69359246896217797</v>
      </c>
      <c r="AS75" s="136">
        <f>RANK(AR75,$AR$7:$AR$75)</f>
        <v>14</v>
      </c>
      <c r="AT75" s="131">
        <f t="shared" si="52"/>
        <v>14248979.6</v>
      </c>
      <c r="AU75" s="131">
        <f t="shared" si="53"/>
        <v>2993.48</v>
      </c>
      <c r="AV75" s="136">
        <f>RANK(AU75,$AU$7:$AU$75)</f>
        <v>57</v>
      </c>
      <c r="AW75" s="133">
        <f t="shared" si="56"/>
        <v>0.30640753103782203</v>
      </c>
      <c r="AX75" s="135">
        <f t="shared" si="57"/>
        <v>46503359.600000001</v>
      </c>
      <c r="AY75" s="135">
        <f t="shared" si="54"/>
        <v>9769.6133613445381</v>
      </c>
      <c r="AZ75" s="136">
        <f>RANK(AY75,$AY$7:$AY$75)</f>
        <v>29</v>
      </c>
    </row>
    <row r="76" spans="1:52" ht="15.6" customHeight="1" thickBot="1" x14ac:dyDescent="0.25">
      <c r="A76" s="60"/>
      <c r="B76" s="59" t="s">
        <v>432</v>
      </c>
      <c r="C76" s="158">
        <f>SUM(C7:C75)</f>
        <v>665649</v>
      </c>
      <c r="D76" s="158">
        <f>SUM(D7:D75)</f>
        <v>482790</v>
      </c>
      <c r="E76" s="158">
        <f t="shared" ref="E76:L76" si="58">SUM(E7:E75)</f>
        <v>106213.8</v>
      </c>
      <c r="F76" s="159">
        <f t="shared" si="58"/>
        <v>297110</v>
      </c>
      <c r="G76" s="158">
        <f t="shared" si="58"/>
        <v>17826.599999999999</v>
      </c>
      <c r="H76" s="158">
        <f t="shared" si="58"/>
        <v>91259</v>
      </c>
      <c r="I76" s="158">
        <f t="shared" si="58"/>
        <v>136888.5</v>
      </c>
      <c r="J76" s="158">
        <f t="shared" si="58"/>
        <v>26734</v>
      </c>
      <c r="K76" s="158">
        <f t="shared" si="58"/>
        <v>16040.399999999998</v>
      </c>
      <c r="L76" s="158">
        <f t="shared" si="58"/>
        <v>191655</v>
      </c>
      <c r="M76" s="160"/>
      <c r="N76" s="158">
        <f>SUM(N7:N75)</f>
        <v>13083.224040000003</v>
      </c>
      <c r="O76" s="158">
        <f>SUM(O7:O75)</f>
        <v>290052.52403999987</v>
      </c>
      <c r="P76" s="158">
        <f>SUM(P7:P75)</f>
        <v>955701.52404000016</v>
      </c>
      <c r="Q76" s="161">
        <f>$Q$1</f>
        <v>4015</v>
      </c>
      <c r="R76" s="161">
        <f>SUM(R7:R75)</f>
        <v>3837141618</v>
      </c>
      <c r="S76" s="161">
        <f>SUM(S7:S75)</f>
        <v>1346120037</v>
      </c>
      <c r="T76" s="161">
        <f>SUM(T7:T75)</f>
        <v>1342837689</v>
      </c>
      <c r="U76" s="162">
        <f>SUM(U7:U75)</f>
        <v>2494303929</v>
      </c>
      <c r="V76" s="163">
        <f>ROUND(U76/R76,4)</f>
        <v>0.65</v>
      </c>
      <c r="W76" s="163">
        <f>ROUND(T76/R76,4)</f>
        <v>0.35</v>
      </c>
      <c r="X76" s="164">
        <f t="shared" si="43"/>
        <v>2017.3359968992668</v>
      </c>
      <c r="Y76" s="161">
        <f t="shared" ref="Y76:AE76" si="59">SUM(Y7:Y75)</f>
        <v>3883182323</v>
      </c>
      <c r="Z76" s="161">
        <f t="shared" si="59"/>
        <v>2538571726</v>
      </c>
      <c r="AA76" s="161">
        <f t="shared" si="59"/>
        <v>0</v>
      </c>
      <c r="AB76" s="161">
        <f t="shared" si="59"/>
        <v>1304628150.1200004</v>
      </c>
      <c r="AC76" s="161">
        <f t="shared" si="59"/>
        <v>1264920469.8799999</v>
      </c>
      <c r="AD76" s="161">
        <f t="shared" si="59"/>
        <v>771712926.5950799</v>
      </c>
      <c r="AE76" s="162">
        <f t="shared" si="59"/>
        <v>505651896</v>
      </c>
      <c r="AF76" s="161">
        <f t="shared" si="45"/>
        <v>760</v>
      </c>
      <c r="AG76" s="165">
        <f>IF(AC76=0,0,ROUND(AE76/AC76,4))</f>
        <v>0.3997</v>
      </c>
      <c r="AH76" s="162">
        <f>SUM(AH7:AH75)</f>
        <v>2999955825</v>
      </c>
      <c r="AI76" s="161">
        <f t="shared" si="47"/>
        <v>4507</v>
      </c>
      <c r="AJ76" s="162">
        <f>SUM(AJ7:AJ75)</f>
        <v>143357830</v>
      </c>
      <c r="AK76" s="161">
        <f t="shared" si="48"/>
        <v>215.3655004364162</v>
      </c>
      <c r="AL76" s="162">
        <f>SUM(AL7:AL75)</f>
        <v>3143313655</v>
      </c>
      <c r="AM76" s="161">
        <f t="shared" si="49"/>
        <v>4722.1788885734077</v>
      </c>
      <c r="AN76" s="162">
        <f>SUM(AN7:AN75)</f>
        <v>613823053</v>
      </c>
      <c r="AO76" s="161">
        <f t="shared" si="50"/>
        <v>922.14222961350504</v>
      </c>
      <c r="AP76" s="162">
        <f>SUM(AP7:AP75)</f>
        <v>3613778878</v>
      </c>
      <c r="AQ76" s="161">
        <f t="shared" si="51"/>
        <v>5428.9556177504965</v>
      </c>
      <c r="AR76" s="165">
        <f>AP76/AX76</f>
        <v>0.58084985375450759</v>
      </c>
      <c r="AS76" s="166"/>
      <c r="AT76" s="161">
        <f>SUM(AT7:AT75)</f>
        <v>2607758158.8799987</v>
      </c>
      <c r="AU76" s="161">
        <f t="shared" si="53"/>
        <v>3917.62</v>
      </c>
      <c r="AV76" s="166"/>
      <c r="AW76" s="165">
        <f>AT76/AX76</f>
        <v>0.41915014624549235</v>
      </c>
      <c r="AX76" s="161">
        <f>SUM(AX7:AX75)</f>
        <v>6221537036.8799992</v>
      </c>
      <c r="AY76" s="161">
        <f t="shared" si="54"/>
        <v>9346.5730991558594</v>
      </c>
      <c r="AZ76" s="166"/>
    </row>
    <row r="77" spans="1:52" ht="17.45" customHeight="1" thickTop="1" x14ac:dyDescent="0.2">
      <c r="A77" s="174"/>
      <c r="B77" s="175"/>
      <c r="C77" s="176"/>
      <c r="D77" s="177"/>
      <c r="E77" s="175"/>
      <c r="F77" s="178"/>
      <c r="G77" s="175"/>
      <c r="H77" s="175"/>
      <c r="I77" s="175"/>
      <c r="J77" s="175"/>
      <c r="K77" s="175"/>
      <c r="L77" s="179"/>
      <c r="M77" s="179"/>
      <c r="N77" s="180"/>
      <c r="O77" s="180"/>
      <c r="P77" s="179"/>
      <c r="Q77" s="181"/>
      <c r="R77" s="182"/>
      <c r="S77" s="64"/>
      <c r="T77" s="64"/>
      <c r="U77" s="183"/>
      <c r="V77" s="41"/>
      <c r="W77" s="41"/>
      <c r="X77" s="41"/>
      <c r="Y77" s="41"/>
      <c r="Z77" s="184" t="s">
        <v>433</v>
      </c>
      <c r="AA77" s="41"/>
      <c r="AB77" s="41"/>
      <c r="AC77" s="41"/>
      <c r="AD77" s="41"/>
      <c r="AE77" s="185"/>
      <c r="AF77" s="172"/>
      <c r="AG77" s="172"/>
      <c r="AH77" s="172"/>
      <c r="AI77" s="172"/>
      <c r="AJ77" s="172"/>
      <c r="AK77" s="172"/>
      <c r="AL77" s="172"/>
      <c r="AM77" s="172"/>
      <c r="AN77" s="172"/>
      <c r="AO77" s="173"/>
      <c r="AP77" s="172"/>
      <c r="AQ77" s="173"/>
      <c r="AR77" s="173"/>
      <c r="AS77" s="173"/>
      <c r="AT77" s="41"/>
      <c r="AU77" s="173"/>
      <c r="AV77" s="173"/>
      <c r="AW77" s="173"/>
      <c r="AX77" s="172"/>
      <c r="AY77" s="172"/>
      <c r="AZ77" s="172"/>
    </row>
    <row r="78" spans="1:52" ht="17.45" customHeight="1" x14ac:dyDescent="0.2">
      <c r="A78" s="168"/>
      <c r="B78" s="170"/>
      <c r="C78" s="186"/>
      <c r="D78" s="169"/>
      <c r="E78" s="170"/>
      <c r="F78" s="170"/>
      <c r="G78" s="170"/>
      <c r="H78" s="170"/>
      <c r="I78" s="170"/>
      <c r="J78" s="170"/>
      <c r="K78" s="170"/>
      <c r="L78" s="41"/>
      <c r="M78" s="171"/>
      <c r="N78" s="41"/>
      <c r="O78" s="41"/>
      <c r="P78" s="41"/>
      <c r="Q78" s="187"/>
      <c r="R78" s="188"/>
      <c r="S78" s="64"/>
      <c r="T78" s="64"/>
      <c r="U78" s="64"/>
      <c r="V78" s="41"/>
      <c r="W78" s="41"/>
      <c r="X78" s="41"/>
      <c r="Y78" s="41"/>
      <c r="Z78" s="189">
        <v>1772908</v>
      </c>
      <c r="AA78" s="41"/>
      <c r="AB78" s="41"/>
      <c r="AC78" s="41"/>
      <c r="AD78" s="41"/>
      <c r="AE78" s="41"/>
    </row>
  </sheetData>
  <sheetProtection password="D893" sheet="1" objects="1" scenarios="1" formatCells="0" formatColumns="0" formatRows="0"/>
  <mergeCells count="53">
    <mergeCell ref="AZ2:AZ3"/>
    <mergeCell ref="AT2:AT3"/>
    <mergeCell ref="AU2:AU3"/>
    <mergeCell ref="AV2:AV3"/>
    <mergeCell ref="AW2:AW3"/>
    <mergeCell ref="AX2:AX3"/>
    <mergeCell ref="AY2:AY3"/>
    <mergeCell ref="AS2:AS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T2:T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U2:U3"/>
    <mergeCell ref="AJ1:AM1"/>
    <mergeCell ref="AN1:AQ1"/>
    <mergeCell ref="E2:E3"/>
    <mergeCell ref="G2:G3"/>
    <mergeCell ref="I2:I3"/>
    <mergeCell ref="K2:K3"/>
    <mergeCell ref="L2:L3"/>
    <mergeCell ref="M2:M3"/>
    <mergeCell ref="N2:N3"/>
    <mergeCell ref="O2:O3"/>
    <mergeCell ref="J1:K1"/>
    <mergeCell ref="P2:P3"/>
    <mergeCell ref="Q2:Q3"/>
    <mergeCell ref="R2:R3"/>
    <mergeCell ref="S2:S3"/>
    <mergeCell ref="A1:B3"/>
    <mergeCell ref="C1:C2"/>
    <mergeCell ref="D1:E1"/>
    <mergeCell ref="F1:G1"/>
    <mergeCell ref="H1:I1"/>
  </mergeCells>
  <conditionalFormatting sqref="T7:T75">
    <cfRule type="expression" dxfId="68" priority="1">
      <formula>$R7*0.75&lt;$S7</formula>
    </cfRule>
  </conditionalFormatting>
  <printOptions horizontalCentered="1"/>
  <pageMargins left="0.25" right="0.25" top="0.75" bottom="0.42" header="0.27" footer="0.16"/>
  <pageSetup paperSize="5" scale="72" firstPageNumber="18" fitToWidth="0" fitToHeight="0" orientation="portrait" r:id="rId1"/>
  <headerFooter alignWithMargins="0">
    <oddHeader>&amp;L&amp;"Arial,Bold"&amp;16&amp;K000000Table 3: FY2021-22 Budget Letter
Level 1 Base Cost and Level 2 Reward Incentive</oddHeader>
    <oddFooter>&amp;R&amp;P</oddFooter>
  </headerFooter>
  <colBreaks count="5" manualBreakCount="5">
    <brk id="11" max="75" man="1"/>
    <brk id="19" max="1048575" man="1"/>
    <brk id="26" max="75" man="1"/>
    <brk id="35" max="75" man="1"/>
    <brk id="4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K77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12.5703125" defaultRowHeight="12.75" x14ac:dyDescent="0.2"/>
  <cols>
    <col min="1" max="1" width="4.28515625" style="41" customWidth="1"/>
    <col min="2" max="2" width="19.7109375" style="41" customWidth="1"/>
    <col min="3" max="3" width="13.7109375" style="41" customWidth="1"/>
    <col min="4" max="4" width="18" style="41" customWidth="1"/>
    <col min="5" max="5" width="16" style="41" customWidth="1"/>
    <col min="6" max="6" width="14.85546875" style="41" customWidth="1"/>
    <col min="7" max="7" width="16" style="41" customWidth="1"/>
    <col min="8" max="9" width="17.5703125" style="41" customWidth="1"/>
    <col min="10" max="11" width="19.140625" style="41" customWidth="1"/>
    <col min="12" max="16384" width="12.5703125" style="41"/>
  </cols>
  <sheetData>
    <row r="1" spans="1:11" ht="30" customHeight="1" x14ac:dyDescent="0.2">
      <c r="A1" s="936" t="s">
        <v>201</v>
      </c>
      <c r="B1" s="937"/>
      <c r="C1" s="969" t="s">
        <v>434</v>
      </c>
      <c r="D1" s="970"/>
      <c r="E1" s="971" t="s">
        <v>435</v>
      </c>
      <c r="F1" s="972"/>
      <c r="G1" s="973"/>
      <c r="H1" s="974" t="s">
        <v>436</v>
      </c>
      <c r="I1" s="975"/>
      <c r="J1" s="960" t="s">
        <v>437</v>
      </c>
      <c r="K1" s="960" t="s">
        <v>438</v>
      </c>
    </row>
    <row r="2" spans="1:11" ht="112.5" customHeight="1" x14ac:dyDescent="0.2">
      <c r="A2" s="938"/>
      <c r="B2" s="939"/>
      <c r="C2" s="963" t="s">
        <v>439</v>
      </c>
      <c r="D2" s="942" t="s">
        <v>440</v>
      </c>
      <c r="E2" s="965" t="s">
        <v>441</v>
      </c>
      <c r="F2" s="967" t="s">
        <v>442</v>
      </c>
      <c r="G2" s="113" t="s">
        <v>443</v>
      </c>
      <c r="H2" s="965" t="s">
        <v>442</v>
      </c>
      <c r="I2" s="113" t="s">
        <v>444</v>
      </c>
      <c r="J2" s="961"/>
      <c r="K2" s="961"/>
    </row>
    <row r="3" spans="1:11" ht="15.75" customHeight="1" x14ac:dyDescent="0.2">
      <c r="A3" s="940"/>
      <c r="B3" s="941"/>
      <c r="C3" s="964"/>
      <c r="D3" s="952"/>
      <c r="E3" s="966"/>
      <c r="F3" s="968"/>
      <c r="G3" s="190">
        <f>38456219/F76</f>
        <v>71.35727420327504</v>
      </c>
      <c r="H3" s="966"/>
      <c r="I3" s="191">
        <v>100</v>
      </c>
      <c r="J3" s="962"/>
      <c r="K3" s="962"/>
    </row>
    <row r="4" spans="1:11" s="195" customFormat="1" ht="14.25" customHeight="1" x14ac:dyDescent="0.2">
      <c r="A4" s="192"/>
      <c r="B4" s="193"/>
      <c r="C4" s="194">
        <v>1</v>
      </c>
      <c r="D4" s="194">
        <f t="shared" ref="D4:K4" si="0">C4+1</f>
        <v>2</v>
      </c>
      <c r="E4" s="194">
        <f t="shared" si="0"/>
        <v>3</v>
      </c>
      <c r="F4" s="194">
        <f t="shared" si="0"/>
        <v>4</v>
      </c>
      <c r="G4" s="194">
        <f t="shared" si="0"/>
        <v>5</v>
      </c>
      <c r="H4" s="194">
        <f t="shared" si="0"/>
        <v>6</v>
      </c>
      <c r="I4" s="194">
        <f t="shared" si="0"/>
        <v>7</v>
      </c>
      <c r="J4" s="194">
        <f t="shared" si="0"/>
        <v>8</v>
      </c>
      <c r="K4" s="194">
        <f t="shared" si="0"/>
        <v>9</v>
      </c>
    </row>
    <row r="5" spans="1:11" s="197" customFormat="1" ht="22.5" hidden="1" x14ac:dyDescent="0.2">
      <c r="A5" s="196"/>
      <c r="B5" s="196"/>
      <c r="C5" s="95" t="s">
        <v>445</v>
      </c>
      <c r="D5" s="95" t="s">
        <v>74</v>
      </c>
      <c r="E5" s="95" t="s">
        <v>445</v>
      </c>
      <c r="F5" s="95" t="s">
        <v>74</v>
      </c>
      <c r="G5" s="32" t="s">
        <v>446</v>
      </c>
      <c r="H5" s="95" t="s">
        <v>73</v>
      </c>
      <c r="I5" s="32" t="s">
        <v>447</v>
      </c>
      <c r="J5" s="95" t="s">
        <v>74</v>
      </c>
      <c r="K5" s="95" t="s">
        <v>74</v>
      </c>
    </row>
    <row r="6" spans="1:11" s="197" customFormat="1" ht="14.25" customHeight="1" x14ac:dyDescent="0.2">
      <c r="A6" s="196"/>
      <c r="B6" s="196"/>
      <c r="C6" s="95" t="s">
        <v>448</v>
      </c>
      <c r="D6" s="95" t="s">
        <v>449</v>
      </c>
      <c r="E6" s="95" t="s">
        <v>448</v>
      </c>
      <c r="F6" s="32" t="s">
        <v>450</v>
      </c>
      <c r="G6" s="32" t="s">
        <v>451</v>
      </c>
      <c r="H6" s="95" t="s">
        <v>450</v>
      </c>
      <c r="I6" s="32" t="s">
        <v>452</v>
      </c>
      <c r="J6" s="32" t="s">
        <v>453</v>
      </c>
      <c r="K6" s="32" t="s">
        <v>454</v>
      </c>
    </row>
    <row r="7" spans="1:11" ht="15.6" customHeight="1" x14ac:dyDescent="0.2">
      <c r="A7" s="36">
        <v>1</v>
      </c>
      <c r="B7" s="37" t="s">
        <v>131</v>
      </c>
      <c r="C7" s="38">
        <v>777.48</v>
      </c>
      <c r="D7" s="38">
        <f>ROUND(C7*'3_Levels 1&amp;2'!C7,0)</f>
        <v>7228232</v>
      </c>
      <c r="E7" s="198">
        <v>0</v>
      </c>
      <c r="F7" s="199">
        <f>'3_Levels 1&amp;2'!C7</f>
        <v>9297</v>
      </c>
      <c r="G7" s="38">
        <f t="shared" ref="G7:G70" si="1">ROUND($G$3*F7,0)</f>
        <v>663409</v>
      </c>
      <c r="H7" s="199">
        <f>'3_Levels 1&amp;2'!C7</f>
        <v>9297</v>
      </c>
      <c r="I7" s="38">
        <f t="shared" ref="I7:I70" si="2">ROUND(H7*$I$3,0)</f>
        <v>929700</v>
      </c>
      <c r="J7" s="38">
        <f t="shared" ref="J7:J70" si="3">E7+G7+I7</f>
        <v>1593109</v>
      </c>
      <c r="K7" s="38">
        <f t="shared" ref="K7:K70" si="4">D7+E7+G7+I7</f>
        <v>8821341</v>
      </c>
    </row>
    <row r="8" spans="1:11" ht="15.6" customHeight="1" x14ac:dyDescent="0.2">
      <c r="A8" s="36">
        <v>2</v>
      </c>
      <c r="B8" s="37" t="s">
        <v>132</v>
      </c>
      <c r="C8" s="38">
        <v>842.32</v>
      </c>
      <c r="D8" s="38">
        <f>ROUND(C8*'3_Levels 1&amp;2'!C8,0)</f>
        <v>3271571</v>
      </c>
      <c r="E8" s="198">
        <v>0</v>
      </c>
      <c r="F8" s="199">
        <f>'3_Levels 1&amp;2'!C8</f>
        <v>3884</v>
      </c>
      <c r="G8" s="38">
        <f t="shared" si="1"/>
        <v>277152</v>
      </c>
      <c r="H8" s="199">
        <f>'3_Levels 1&amp;2'!C8</f>
        <v>3884</v>
      </c>
      <c r="I8" s="38">
        <f t="shared" si="2"/>
        <v>388400</v>
      </c>
      <c r="J8" s="38">
        <f t="shared" si="3"/>
        <v>665552</v>
      </c>
      <c r="K8" s="38">
        <f t="shared" si="4"/>
        <v>3937123</v>
      </c>
    </row>
    <row r="9" spans="1:11" ht="15.6" customHeight="1" x14ac:dyDescent="0.2">
      <c r="A9" s="36">
        <v>3</v>
      </c>
      <c r="B9" s="37" t="s">
        <v>133</v>
      </c>
      <c r="C9" s="38">
        <v>596.84</v>
      </c>
      <c r="D9" s="38">
        <f>ROUND(C9*'3_Levels 1&amp;2'!C9,0)</f>
        <v>13729707</v>
      </c>
      <c r="E9" s="198">
        <v>0</v>
      </c>
      <c r="F9" s="199">
        <f>'3_Levels 1&amp;2'!C9</f>
        <v>23004</v>
      </c>
      <c r="G9" s="38">
        <f t="shared" si="1"/>
        <v>1641503</v>
      </c>
      <c r="H9" s="199">
        <f>'3_Levels 1&amp;2'!C9</f>
        <v>23004</v>
      </c>
      <c r="I9" s="38">
        <f t="shared" si="2"/>
        <v>2300400</v>
      </c>
      <c r="J9" s="38">
        <f t="shared" si="3"/>
        <v>3941903</v>
      </c>
      <c r="K9" s="38">
        <f t="shared" si="4"/>
        <v>17671610</v>
      </c>
    </row>
    <row r="10" spans="1:11" ht="15.6" customHeight="1" x14ac:dyDescent="0.2">
      <c r="A10" s="36">
        <v>4</v>
      </c>
      <c r="B10" s="37" t="s">
        <v>134</v>
      </c>
      <c r="C10" s="38">
        <v>585.76</v>
      </c>
      <c r="D10" s="38">
        <f>ROUND(C10*'3_Levels 1&amp;2'!C10,0)</f>
        <v>1734435</v>
      </c>
      <c r="E10" s="198">
        <v>0</v>
      </c>
      <c r="F10" s="199">
        <f>'3_Levels 1&amp;2'!C10</f>
        <v>2961</v>
      </c>
      <c r="G10" s="38">
        <f t="shared" si="1"/>
        <v>211289</v>
      </c>
      <c r="H10" s="199">
        <f>'3_Levels 1&amp;2'!C10</f>
        <v>2961</v>
      </c>
      <c r="I10" s="38">
        <f t="shared" si="2"/>
        <v>296100</v>
      </c>
      <c r="J10" s="38">
        <f t="shared" si="3"/>
        <v>507389</v>
      </c>
      <c r="K10" s="38">
        <f t="shared" si="4"/>
        <v>2241824</v>
      </c>
    </row>
    <row r="11" spans="1:11" ht="15.6" customHeight="1" x14ac:dyDescent="0.2">
      <c r="A11" s="47">
        <v>5</v>
      </c>
      <c r="B11" s="48" t="s">
        <v>135</v>
      </c>
      <c r="C11" s="49">
        <v>555.91</v>
      </c>
      <c r="D11" s="49">
        <f>ROUND(C11*'3_Levels 1&amp;2'!C11,0)</f>
        <v>2903518</v>
      </c>
      <c r="E11" s="200">
        <v>0</v>
      </c>
      <c r="F11" s="201">
        <f>'3_Levels 1&amp;2'!C11</f>
        <v>5223</v>
      </c>
      <c r="G11" s="49">
        <f t="shared" si="1"/>
        <v>372699</v>
      </c>
      <c r="H11" s="201">
        <f>'3_Levels 1&amp;2'!C11</f>
        <v>5223</v>
      </c>
      <c r="I11" s="49">
        <f t="shared" si="2"/>
        <v>522300</v>
      </c>
      <c r="J11" s="49">
        <f t="shared" si="3"/>
        <v>894999</v>
      </c>
      <c r="K11" s="49">
        <f t="shared" si="4"/>
        <v>3798517</v>
      </c>
    </row>
    <row r="12" spans="1:11" ht="15.6" customHeight="1" x14ac:dyDescent="0.2">
      <c r="A12" s="36">
        <v>6</v>
      </c>
      <c r="B12" s="37" t="s">
        <v>136</v>
      </c>
      <c r="C12" s="38">
        <v>545.4799999999999</v>
      </c>
      <c r="D12" s="202">
        <f>ROUND(C12*'3_Levels 1&amp;2'!C12,0)</f>
        <v>3071052</v>
      </c>
      <c r="E12" s="198">
        <v>0</v>
      </c>
      <c r="F12" s="199">
        <f>'3_Levels 1&amp;2'!C12</f>
        <v>5630</v>
      </c>
      <c r="G12" s="38">
        <f t="shared" si="1"/>
        <v>401741</v>
      </c>
      <c r="H12" s="199">
        <f>'3_Levels 1&amp;2'!C12</f>
        <v>5630</v>
      </c>
      <c r="I12" s="38">
        <f t="shared" si="2"/>
        <v>563000</v>
      </c>
      <c r="J12" s="38">
        <f t="shared" si="3"/>
        <v>964741</v>
      </c>
      <c r="K12" s="38">
        <f t="shared" si="4"/>
        <v>4035793</v>
      </c>
    </row>
    <row r="13" spans="1:11" ht="15.6" customHeight="1" x14ac:dyDescent="0.2">
      <c r="A13" s="36">
        <v>7</v>
      </c>
      <c r="B13" s="37" t="s">
        <v>137</v>
      </c>
      <c r="C13" s="38">
        <v>756.91999999999985</v>
      </c>
      <c r="D13" s="38">
        <f>ROUND(C13*'3_Levels 1&amp;2'!C13,0)</f>
        <v>1489619</v>
      </c>
      <c r="E13" s="198">
        <v>0</v>
      </c>
      <c r="F13" s="199">
        <f>'3_Levels 1&amp;2'!C13</f>
        <v>1968</v>
      </c>
      <c r="G13" s="38">
        <f t="shared" si="1"/>
        <v>140431</v>
      </c>
      <c r="H13" s="199">
        <f>'3_Levels 1&amp;2'!C13</f>
        <v>1968</v>
      </c>
      <c r="I13" s="38">
        <f t="shared" si="2"/>
        <v>196800</v>
      </c>
      <c r="J13" s="38">
        <f t="shared" si="3"/>
        <v>337231</v>
      </c>
      <c r="K13" s="38">
        <f t="shared" si="4"/>
        <v>1826850</v>
      </c>
    </row>
    <row r="14" spans="1:11" ht="15.6" customHeight="1" x14ac:dyDescent="0.2">
      <c r="A14" s="36">
        <v>8</v>
      </c>
      <c r="B14" s="37" t="s">
        <v>138</v>
      </c>
      <c r="C14" s="38">
        <v>725.76</v>
      </c>
      <c r="D14" s="38">
        <f>ROUND(C14*'3_Levels 1&amp;2'!C14,0)</f>
        <v>16010266</v>
      </c>
      <c r="E14" s="198">
        <v>0</v>
      </c>
      <c r="F14" s="199">
        <f>'3_Levels 1&amp;2'!C14</f>
        <v>22060</v>
      </c>
      <c r="G14" s="38">
        <f t="shared" si="1"/>
        <v>1574141</v>
      </c>
      <c r="H14" s="199">
        <f>'3_Levels 1&amp;2'!C14</f>
        <v>22060</v>
      </c>
      <c r="I14" s="38">
        <f t="shared" si="2"/>
        <v>2206000</v>
      </c>
      <c r="J14" s="38">
        <f t="shared" si="3"/>
        <v>3780141</v>
      </c>
      <c r="K14" s="38">
        <f t="shared" si="4"/>
        <v>19790407</v>
      </c>
    </row>
    <row r="15" spans="1:11" ht="15.6" customHeight="1" x14ac:dyDescent="0.2">
      <c r="A15" s="36">
        <v>9</v>
      </c>
      <c r="B15" s="37" t="s">
        <v>139</v>
      </c>
      <c r="C15" s="38">
        <v>744.76</v>
      </c>
      <c r="D15" s="38">
        <f>ROUND(C15*'3_Levels 1&amp;2'!C15,0)</f>
        <v>27264919</v>
      </c>
      <c r="E15" s="198">
        <v>0</v>
      </c>
      <c r="F15" s="199">
        <f>'3_Levels 1&amp;2'!C15</f>
        <v>36609</v>
      </c>
      <c r="G15" s="38">
        <f t="shared" si="1"/>
        <v>2612318</v>
      </c>
      <c r="H15" s="199">
        <f>'3_Levels 1&amp;2'!C15</f>
        <v>36609</v>
      </c>
      <c r="I15" s="38">
        <f t="shared" si="2"/>
        <v>3660900</v>
      </c>
      <c r="J15" s="38">
        <f t="shared" si="3"/>
        <v>6273218</v>
      </c>
      <c r="K15" s="38">
        <f t="shared" si="4"/>
        <v>33538137</v>
      </c>
    </row>
    <row r="16" spans="1:11" ht="15.6" customHeight="1" x14ac:dyDescent="0.2">
      <c r="A16" s="47">
        <v>10</v>
      </c>
      <c r="B16" s="48" t="s">
        <v>140</v>
      </c>
      <c r="C16" s="49">
        <v>608.04000000000008</v>
      </c>
      <c r="D16" s="49">
        <f>ROUND(C16*'3_Levels 1&amp;2'!C16,0)</f>
        <v>17502431</v>
      </c>
      <c r="E16" s="200">
        <v>0</v>
      </c>
      <c r="F16" s="201">
        <f>'3_Levels 1&amp;2'!C16</f>
        <v>28785</v>
      </c>
      <c r="G16" s="49">
        <f t="shared" si="1"/>
        <v>2054019</v>
      </c>
      <c r="H16" s="201">
        <f>'3_Levels 1&amp;2'!C16</f>
        <v>28785</v>
      </c>
      <c r="I16" s="49">
        <f t="shared" si="2"/>
        <v>2878500</v>
      </c>
      <c r="J16" s="49">
        <f t="shared" si="3"/>
        <v>4932519</v>
      </c>
      <c r="K16" s="49">
        <f t="shared" si="4"/>
        <v>22434950</v>
      </c>
    </row>
    <row r="17" spans="1:11" ht="15.6" customHeight="1" x14ac:dyDescent="0.2">
      <c r="A17" s="36">
        <v>11</v>
      </c>
      <c r="B17" s="37" t="s">
        <v>141</v>
      </c>
      <c r="C17" s="38">
        <v>706.55</v>
      </c>
      <c r="D17" s="202">
        <f>ROUND(C17*'3_Levels 1&amp;2'!C17,0)</f>
        <v>1056999</v>
      </c>
      <c r="E17" s="198">
        <v>0</v>
      </c>
      <c r="F17" s="199">
        <f>'3_Levels 1&amp;2'!C17</f>
        <v>1496</v>
      </c>
      <c r="G17" s="38">
        <f t="shared" si="1"/>
        <v>106750</v>
      </c>
      <c r="H17" s="199">
        <f>'3_Levels 1&amp;2'!C17</f>
        <v>1496</v>
      </c>
      <c r="I17" s="38">
        <f t="shared" si="2"/>
        <v>149600</v>
      </c>
      <c r="J17" s="38">
        <f t="shared" si="3"/>
        <v>256350</v>
      </c>
      <c r="K17" s="38">
        <f t="shared" si="4"/>
        <v>1313349</v>
      </c>
    </row>
    <row r="18" spans="1:11" ht="15.6" customHeight="1" x14ac:dyDescent="0.2">
      <c r="A18" s="36">
        <v>12</v>
      </c>
      <c r="B18" s="37" t="s">
        <v>142</v>
      </c>
      <c r="C18" s="38">
        <v>1063.31</v>
      </c>
      <c r="D18" s="38">
        <f>ROUND(C18*'3_Levels 1&amp;2'!C18,0)</f>
        <v>1202604</v>
      </c>
      <c r="E18" s="198">
        <v>0</v>
      </c>
      <c r="F18" s="199">
        <f>'3_Levels 1&amp;2'!C18</f>
        <v>1131</v>
      </c>
      <c r="G18" s="38">
        <f t="shared" si="1"/>
        <v>80705</v>
      </c>
      <c r="H18" s="199">
        <f>'3_Levels 1&amp;2'!C18</f>
        <v>1131</v>
      </c>
      <c r="I18" s="38">
        <f t="shared" si="2"/>
        <v>113100</v>
      </c>
      <c r="J18" s="38">
        <f t="shared" si="3"/>
        <v>193805</v>
      </c>
      <c r="K18" s="38">
        <f t="shared" si="4"/>
        <v>1396409</v>
      </c>
    </row>
    <row r="19" spans="1:11" ht="15.6" customHeight="1" x14ac:dyDescent="0.2">
      <c r="A19" s="36">
        <v>13</v>
      </c>
      <c r="B19" s="37" t="s">
        <v>143</v>
      </c>
      <c r="C19" s="38">
        <v>749.43000000000006</v>
      </c>
      <c r="D19" s="38">
        <f>ROUND(C19*'3_Levels 1&amp;2'!C19,0)</f>
        <v>882079</v>
      </c>
      <c r="E19" s="198">
        <v>0</v>
      </c>
      <c r="F19" s="199">
        <f>'3_Levels 1&amp;2'!C19</f>
        <v>1177</v>
      </c>
      <c r="G19" s="38">
        <f t="shared" si="1"/>
        <v>83988</v>
      </c>
      <c r="H19" s="199">
        <f>'3_Levels 1&amp;2'!C19</f>
        <v>1177</v>
      </c>
      <c r="I19" s="38">
        <f t="shared" si="2"/>
        <v>117700</v>
      </c>
      <c r="J19" s="38">
        <f t="shared" si="3"/>
        <v>201688</v>
      </c>
      <c r="K19" s="38">
        <f t="shared" si="4"/>
        <v>1083767</v>
      </c>
    </row>
    <row r="20" spans="1:11" ht="15.6" customHeight="1" x14ac:dyDescent="0.2">
      <c r="A20" s="36">
        <v>14</v>
      </c>
      <c r="B20" s="37" t="s">
        <v>144</v>
      </c>
      <c r="C20" s="38">
        <v>809.9799999999999</v>
      </c>
      <c r="D20" s="38">
        <f>ROUND(C20*'3_Levels 1&amp;2'!C20,0)</f>
        <v>1389926</v>
      </c>
      <c r="E20" s="198">
        <v>0</v>
      </c>
      <c r="F20" s="199">
        <f>'3_Levels 1&amp;2'!C20</f>
        <v>1716</v>
      </c>
      <c r="G20" s="38">
        <f t="shared" si="1"/>
        <v>122449</v>
      </c>
      <c r="H20" s="199">
        <f>'3_Levels 1&amp;2'!C20</f>
        <v>1716</v>
      </c>
      <c r="I20" s="38">
        <f t="shared" si="2"/>
        <v>171600</v>
      </c>
      <c r="J20" s="38">
        <f t="shared" si="3"/>
        <v>294049</v>
      </c>
      <c r="K20" s="38">
        <f t="shared" si="4"/>
        <v>1683975</v>
      </c>
    </row>
    <row r="21" spans="1:11" ht="15.6" customHeight="1" x14ac:dyDescent="0.2">
      <c r="A21" s="47">
        <v>15</v>
      </c>
      <c r="B21" s="48" t="s">
        <v>145</v>
      </c>
      <c r="C21" s="49">
        <v>553.79999999999995</v>
      </c>
      <c r="D21" s="49">
        <f>ROUND(C21*'3_Levels 1&amp;2'!C21,0)</f>
        <v>1909502</v>
      </c>
      <c r="E21" s="200">
        <v>0</v>
      </c>
      <c r="F21" s="201"/>
      <c r="G21" s="49">
        <f t="shared" si="1"/>
        <v>0</v>
      </c>
      <c r="H21" s="201">
        <f>'3_Levels 1&amp;2'!C21</f>
        <v>3448</v>
      </c>
      <c r="I21" s="49">
        <f t="shared" si="2"/>
        <v>344800</v>
      </c>
      <c r="J21" s="49">
        <f t="shared" si="3"/>
        <v>344800</v>
      </c>
      <c r="K21" s="49">
        <f t="shared" si="4"/>
        <v>2254302</v>
      </c>
    </row>
    <row r="22" spans="1:11" ht="15.6" customHeight="1" x14ac:dyDescent="0.2">
      <c r="A22" s="36">
        <v>16</v>
      </c>
      <c r="B22" s="37" t="s">
        <v>146</v>
      </c>
      <c r="C22" s="38">
        <v>686.73</v>
      </c>
      <c r="D22" s="202">
        <f>ROUND(C22*'3_Levels 1&amp;2'!C22,0)</f>
        <v>3210463</v>
      </c>
      <c r="E22" s="198">
        <v>0</v>
      </c>
      <c r="F22" s="199">
        <f>'3_Levels 1&amp;2'!C22</f>
        <v>4675</v>
      </c>
      <c r="G22" s="38">
        <f t="shared" si="1"/>
        <v>333595</v>
      </c>
      <c r="H22" s="199">
        <f>'3_Levels 1&amp;2'!C22</f>
        <v>4675</v>
      </c>
      <c r="I22" s="38">
        <f t="shared" si="2"/>
        <v>467500</v>
      </c>
      <c r="J22" s="38">
        <f t="shared" si="3"/>
        <v>801095</v>
      </c>
      <c r="K22" s="38">
        <f t="shared" si="4"/>
        <v>4011558</v>
      </c>
    </row>
    <row r="23" spans="1:11" ht="15.6" customHeight="1" x14ac:dyDescent="0.2">
      <c r="A23" s="36">
        <v>17</v>
      </c>
      <c r="B23" s="37" t="s">
        <v>147</v>
      </c>
      <c r="C23" s="38">
        <v>801.48</v>
      </c>
      <c r="D23" s="38">
        <f>ROUND(C23*'3_Levels 1&amp;2'!C23,0)</f>
        <v>36189226</v>
      </c>
      <c r="E23" s="198">
        <v>13580692</v>
      </c>
      <c r="F23" s="199"/>
      <c r="G23" s="38">
        <f t="shared" si="1"/>
        <v>0</v>
      </c>
      <c r="H23" s="199">
        <f>'3_Levels 1&amp;2'!C23</f>
        <v>45153</v>
      </c>
      <c r="I23" s="38">
        <f t="shared" si="2"/>
        <v>4515300</v>
      </c>
      <c r="J23" s="38">
        <f t="shared" si="3"/>
        <v>18095992</v>
      </c>
      <c r="K23" s="38">
        <f t="shared" si="4"/>
        <v>54285218</v>
      </c>
    </row>
    <row r="24" spans="1:11" ht="15.6" customHeight="1" x14ac:dyDescent="0.2">
      <c r="A24" s="36">
        <v>18</v>
      </c>
      <c r="B24" s="37" t="s">
        <v>148</v>
      </c>
      <c r="C24" s="38">
        <v>845.94999999999993</v>
      </c>
      <c r="D24" s="38">
        <f>ROUND(C24*'3_Levels 1&amp;2'!C24,0)</f>
        <v>679298</v>
      </c>
      <c r="E24" s="198">
        <v>0</v>
      </c>
      <c r="F24" s="199">
        <f>'3_Levels 1&amp;2'!C24</f>
        <v>803</v>
      </c>
      <c r="G24" s="38">
        <f t="shared" si="1"/>
        <v>57300</v>
      </c>
      <c r="H24" s="199">
        <f>'3_Levels 1&amp;2'!C24</f>
        <v>803</v>
      </c>
      <c r="I24" s="38">
        <f t="shared" si="2"/>
        <v>80300</v>
      </c>
      <c r="J24" s="38">
        <f t="shared" si="3"/>
        <v>137600</v>
      </c>
      <c r="K24" s="38">
        <f t="shared" si="4"/>
        <v>816898</v>
      </c>
    </row>
    <row r="25" spans="1:11" ht="15.6" customHeight="1" x14ac:dyDescent="0.2">
      <c r="A25" s="36">
        <v>19</v>
      </c>
      <c r="B25" s="37" t="s">
        <v>149</v>
      </c>
      <c r="C25" s="38">
        <v>905.43</v>
      </c>
      <c r="D25" s="38">
        <f>ROUND(C25*'3_Levels 1&amp;2'!C25,0)</f>
        <v>1529271</v>
      </c>
      <c r="E25" s="198">
        <v>0</v>
      </c>
      <c r="F25" s="199">
        <f>'3_Levels 1&amp;2'!C25</f>
        <v>1689</v>
      </c>
      <c r="G25" s="38">
        <f t="shared" si="1"/>
        <v>120522</v>
      </c>
      <c r="H25" s="199">
        <f>'3_Levels 1&amp;2'!C25</f>
        <v>1689</v>
      </c>
      <c r="I25" s="38">
        <f t="shared" si="2"/>
        <v>168900</v>
      </c>
      <c r="J25" s="38">
        <f t="shared" si="3"/>
        <v>289422</v>
      </c>
      <c r="K25" s="38">
        <f t="shared" si="4"/>
        <v>1818693</v>
      </c>
    </row>
    <row r="26" spans="1:11" ht="15.6" customHeight="1" x14ac:dyDescent="0.2">
      <c r="A26" s="47">
        <v>20</v>
      </c>
      <c r="B26" s="48" t="s">
        <v>150</v>
      </c>
      <c r="C26" s="49">
        <v>586.16999999999996</v>
      </c>
      <c r="D26" s="49">
        <f>ROUND(C26*'3_Levels 1&amp;2'!C26,0)</f>
        <v>3234486</v>
      </c>
      <c r="E26" s="200">
        <v>0</v>
      </c>
      <c r="F26" s="201"/>
      <c r="G26" s="49">
        <f t="shared" si="1"/>
        <v>0</v>
      </c>
      <c r="H26" s="201">
        <f>'3_Levels 1&amp;2'!C26</f>
        <v>5518</v>
      </c>
      <c r="I26" s="49">
        <f t="shared" si="2"/>
        <v>551800</v>
      </c>
      <c r="J26" s="49">
        <f t="shared" si="3"/>
        <v>551800</v>
      </c>
      <c r="K26" s="49">
        <f t="shared" si="4"/>
        <v>3786286</v>
      </c>
    </row>
    <row r="27" spans="1:11" ht="15.6" customHeight="1" x14ac:dyDescent="0.2">
      <c r="A27" s="36">
        <v>21</v>
      </c>
      <c r="B27" s="37" t="s">
        <v>151</v>
      </c>
      <c r="C27" s="38">
        <v>610.35</v>
      </c>
      <c r="D27" s="202">
        <f>ROUND(C27*'3_Levels 1&amp;2'!C27,0)</f>
        <v>1698604</v>
      </c>
      <c r="E27" s="198">
        <v>0</v>
      </c>
      <c r="F27" s="199">
        <f>'3_Levels 1&amp;2'!C27</f>
        <v>2783</v>
      </c>
      <c r="G27" s="38">
        <f t="shared" si="1"/>
        <v>198587</v>
      </c>
      <c r="H27" s="199">
        <f>'3_Levels 1&amp;2'!C27</f>
        <v>2783</v>
      </c>
      <c r="I27" s="38">
        <f t="shared" si="2"/>
        <v>278300</v>
      </c>
      <c r="J27" s="38">
        <f t="shared" si="3"/>
        <v>476887</v>
      </c>
      <c r="K27" s="38">
        <f t="shared" si="4"/>
        <v>2175491</v>
      </c>
    </row>
    <row r="28" spans="1:11" ht="15.6" customHeight="1" x14ac:dyDescent="0.2">
      <c r="A28" s="36">
        <v>22</v>
      </c>
      <c r="B28" s="37" t="s">
        <v>152</v>
      </c>
      <c r="C28" s="38">
        <v>496.36</v>
      </c>
      <c r="D28" s="38">
        <f>ROUND(C28*'3_Levels 1&amp;2'!C28,0)</f>
        <v>1403210</v>
      </c>
      <c r="E28" s="198">
        <v>0</v>
      </c>
      <c r="F28" s="199">
        <f>'3_Levels 1&amp;2'!C28</f>
        <v>2827</v>
      </c>
      <c r="G28" s="38">
        <f t="shared" si="1"/>
        <v>201727</v>
      </c>
      <c r="H28" s="199">
        <f>'3_Levels 1&amp;2'!C28</f>
        <v>2827</v>
      </c>
      <c r="I28" s="38">
        <f t="shared" si="2"/>
        <v>282700</v>
      </c>
      <c r="J28" s="38">
        <f t="shared" si="3"/>
        <v>484427</v>
      </c>
      <c r="K28" s="38">
        <f t="shared" si="4"/>
        <v>1887637</v>
      </c>
    </row>
    <row r="29" spans="1:11" ht="15.6" customHeight="1" x14ac:dyDescent="0.2">
      <c r="A29" s="36">
        <v>23</v>
      </c>
      <c r="B29" s="37" t="s">
        <v>153</v>
      </c>
      <c r="C29" s="38">
        <v>688.58</v>
      </c>
      <c r="D29" s="38">
        <f>ROUND(C29*'3_Levels 1&amp;2'!C29,0)</f>
        <v>8055009</v>
      </c>
      <c r="E29" s="198">
        <v>0</v>
      </c>
      <c r="F29" s="199">
        <f>'3_Levels 1&amp;2'!C29</f>
        <v>11698</v>
      </c>
      <c r="G29" s="38">
        <f t="shared" si="1"/>
        <v>834737</v>
      </c>
      <c r="H29" s="199">
        <f>'3_Levels 1&amp;2'!C29</f>
        <v>11698</v>
      </c>
      <c r="I29" s="38">
        <f t="shared" si="2"/>
        <v>1169800</v>
      </c>
      <c r="J29" s="38">
        <f t="shared" si="3"/>
        <v>2004537</v>
      </c>
      <c r="K29" s="38">
        <f t="shared" si="4"/>
        <v>10059546</v>
      </c>
    </row>
    <row r="30" spans="1:11" ht="15.6" customHeight="1" x14ac:dyDescent="0.2">
      <c r="A30" s="36">
        <v>24</v>
      </c>
      <c r="B30" s="37" t="s">
        <v>154</v>
      </c>
      <c r="C30" s="38">
        <v>854.24999999999989</v>
      </c>
      <c r="D30" s="38">
        <f>ROUND(C30*'3_Levels 1&amp;2'!C30,0)</f>
        <v>3572474</v>
      </c>
      <c r="E30" s="198">
        <v>1654734</v>
      </c>
      <c r="F30" s="199"/>
      <c r="G30" s="38">
        <f t="shared" si="1"/>
        <v>0</v>
      </c>
      <c r="H30" s="199">
        <f>'3_Levels 1&amp;2'!C30</f>
        <v>4182</v>
      </c>
      <c r="I30" s="38">
        <f t="shared" si="2"/>
        <v>418200</v>
      </c>
      <c r="J30" s="38">
        <f t="shared" si="3"/>
        <v>2072934</v>
      </c>
      <c r="K30" s="38">
        <f t="shared" si="4"/>
        <v>5645408</v>
      </c>
    </row>
    <row r="31" spans="1:11" ht="15.6" customHeight="1" x14ac:dyDescent="0.2">
      <c r="A31" s="47">
        <v>25</v>
      </c>
      <c r="B31" s="48" t="s">
        <v>155</v>
      </c>
      <c r="C31" s="49">
        <v>653.73</v>
      </c>
      <c r="D31" s="49">
        <f>ROUND(C31*'3_Levels 1&amp;2'!C31,0)</f>
        <v>1397021</v>
      </c>
      <c r="E31" s="200">
        <v>0</v>
      </c>
      <c r="F31" s="201">
        <f>'3_Levels 1&amp;2'!C31</f>
        <v>2137</v>
      </c>
      <c r="G31" s="49">
        <f t="shared" si="1"/>
        <v>152490</v>
      </c>
      <c r="H31" s="201">
        <f>'3_Levels 1&amp;2'!C31</f>
        <v>2137</v>
      </c>
      <c r="I31" s="49">
        <f t="shared" si="2"/>
        <v>213700</v>
      </c>
      <c r="J31" s="49">
        <f t="shared" si="3"/>
        <v>366190</v>
      </c>
      <c r="K31" s="49">
        <f t="shared" si="4"/>
        <v>1763211</v>
      </c>
    </row>
    <row r="32" spans="1:11" ht="15.6" customHeight="1" x14ac:dyDescent="0.2">
      <c r="A32" s="36">
        <v>26</v>
      </c>
      <c r="B32" s="37" t="s">
        <v>156</v>
      </c>
      <c r="C32" s="38">
        <v>836.83</v>
      </c>
      <c r="D32" s="202">
        <f>ROUND(C32*'3_Levels 1&amp;2'!C32,0)</f>
        <v>41705934</v>
      </c>
      <c r="E32" s="198">
        <v>14897747</v>
      </c>
      <c r="F32" s="199"/>
      <c r="G32" s="38">
        <f t="shared" si="1"/>
        <v>0</v>
      </c>
      <c r="H32" s="199">
        <f>'3_Levels 1&amp;2'!C32</f>
        <v>49838</v>
      </c>
      <c r="I32" s="38">
        <f t="shared" si="2"/>
        <v>4983800</v>
      </c>
      <c r="J32" s="38">
        <f t="shared" si="3"/>
        <v>19881547</v>
      </c>
      <c r="K32" s="38">
        <f t="shared" si="4"/>
        <v>61587481</v>
      </c>
    </row>
    <row r="33" spans="1:11" ht="15.6" customHeight="1" x14ac:dyDescent="0.2">
      <c r="A33" s="36">
        <v>27</v>
      </c>
      <c r="B33" s="37" t="s">
        <v>157</v>
      </c>
      <c r="C33" s="38">
        <v>693.06</v>
      </c>
      <c r="D33" s="38">
        <f>ROUND(C33*'3_Levels 1&amp;2'!C33,0)</f>
        <v>3736286</v>
      </c>
      <c r="E33" s="198">
        <v>0</v>
      </c>
      <c r="F33" s="199">
        <f>'3_Levels 1&amp;2'!C33</f>
        <v>5391</v>
      </c>
      <c r="G33" s="38">
        <f t="shared" si="1"/>
        <v>384687</v>
      </c>
      <c r="H33" s="199">
        <f>'3_Levels 1&amp;2'!C33</f>
        <v>5391</v>
      </c>
      <c r="I33" s="38">
        <f t="shared" si="2"/>
        <v>539100</v>
      </c>
      <c r="J33" s="38">
        <f t="shared" si="3"/>
        <v>923787</v>
      </c>
      <c r="K33" s="38">
        <f t="shared" si="4"/>
        <v>4660073</v>
      </c>
    </row>
    <row r="34" spans="1:11" ht="15.6" customHeight="1" x14ac:dyDescent="0.2">
      <c r="A34" s="36">
        <v>28</v>
      </c>
      <c r="B34" s="37" t="s">
        <v>158</v>
      </c>
      <c r="C34" s="38">
        <v>694.4</v>
      </c>
      <c r="D34" s="38">
        <f>ROUND(C34*'3_Levels 1&amp;2'!C34,0)</f>
        <v>23304758</v>
      </c>
      <c r="E34" s="198">
        <v>1996377</v>
      </c>
      <c r="F34" s="199">
        <f>'3_Levels 1&amp;2'!C34</f>
        <v>33561</v>
      </c>
      <c r="G34" s="38">
        <f t="shared" si="1"/>
        <v>2394821</v>
      </c>
      <c r="H34" s="199">
        <f>'3_Levels 1&amp;2'!C34</f>
        <v>33561</v>
      </c>
      <c r="I34" s="38">
        <f t="shared" si="2"/>
        <v>3356100</v>
      </c>
      <c r="J34" s="38">
        <f t="shared" si="3"/>
        <v>7747298</v>
      </c>
      <c r="K34" s="38">
        <f t="shared" si="4"/>
        <v>31052056</v>
      </c>
    </row>
    <row r="35" spans="1:11" ht="15.6" customHeight="1" x14ac:dyDescent="0.2">
      <c r="A35" s="36">
        <v>29</v>
      </c>
      <c r="B35" s="37" t="s">
        <v>159</v>
      </c>
      <c r="C35" s="38">
        <v>754.94999999999993</v>
      </c>
      <c r="D35" s="38">
        <f>ROUND(C35*'3_Levels 1&amp;2'!C35,0)</f>
        <v>10591194</v>
      </c>
      <c r="E35" s="198">
        <v>0</v>
      </c>
      <c r="F35" s="199">
        <f>'3_Levels 1&amp;2'!C35</f>
        <v>14029</v>
      </c>
      <c r="G35" s="38">
        <f t="shared" si="1"/>
        <v>1001071</v>
      </c>
      <c r="H35" s="199">
        <f>'3_Levels 1&amp;2'!C35</f>
        <v>14029</v>
      </c>
      <c r="I35" s="38">
        <f t="shared" si="2"/>
        <v>1402900</v>
      </c>
      <c r="J35" s="38">
        <f t="shared" si="3"/>
        <v>2403971</v>
      </c>
      <c r="K35" s="38">
        <f t="shared" si="4"/>
        <v>12995165</v>
      </c>
    </row>
    <row r="36" spans="1:11" ht="15.6" customHeight="1" x14ac:dyDescent="0.2">
      <c r="A36" s="47">
        <v>30</v>
      </c>
      <c r="B36" s="48" t="s">
        <v>160</v>
      </c>
      <c r="C36" s="49">
        <v>727.17</v>
      </c>
      <c r="D36" s="49">
        <f>ROUND(C36*'3_Levels 1&amp;2'!C36,0)</f>
        <v>1772840</v>
      </c>
      <c r="E36" s="200">
        <v>0</v>
      </c>
      <c r="F36" s="201">
        <f>'3_Levels 1&amp;2'!C36</f>
        <v>2438</v>
      </c>
      <c r="G36" s="49">
        <f t="shared" si="1"/>
        <v>173969</v>
      </c>
      <c r="H36" s="201">
        <f>'3_Levels 1&amp;2'!C36</f>
        <v>2438</v>
      </c>
      <c r="I36" s="49">
        <f t="shared" si="2"/>
        <v>243800</v>
      </c>
      <c r="J36" s="49">
        <f t="shared" si="3"/>
        <v>417769</v>
      </c>
      <c r="K36" s="49">
        <f t="shared" si="4"/>
        <v>2190609</v>
      </c>
    </row>
    <row r="37" spans="1:11" ht="15.6" customHeight="1" x14ac:dyDescent="0.2">
      <c r="A37" s="36">
        <v>31</v>
      </c>
      <c r="B37" s="37" t="s">
        <v>161</v>
      </c>
      <c r="C37" s="38">
        <v>620.83000000000004</v>
      </c>
      <c r="D37" s="202">
        <f>ROUND(C37*'3_Levels 1&amp;2'!C37,0)</f>
        <v>3780855</v>
      </c>
      <c r="E37" s="198">
        <v>0</v>
      </c>
      <c r="F37" s="199">
        <f>'3_Levels 1&amp;2'!C37</f>
        <v>6090</v>
      </c>
      <c r="G37" s="38">
        <f t="shared" si="1"/>
        <v>434566</v>
      </c>
      <c r="H37" s="199">
        <f>'3_Levels 1&amp;2'!C37</f>
        <v>6090</v>
      </c>
      <c r="I37" s="38">
        <f t="shared" si="2"/>
        <v>609000</v>
      </c>
      <c r="J37" s="38">
        <f t="shared" si="3"/>
        <v>1043566</v>
      </c>
      <c r="K37" s="38">
        <f t="shared" si="4"/>
        <v>4824421</v>
      </c>
    </row>
    <row r="38" spans="1:11" ht="15.6" customHeight="1" x14ac:dyDescent="0.2">
      <c r="A38" s="36">
        <v>32</v>
      </c>
      <c r="B38" s="37" t="s">
        <v>162</v>
      </c>
      <c r="C38" s="38">
        <v>559.77</v>
      </c>
      <c r="D38" s="38">
        <f>ROUND(C38*'3_Levels 1&amp;2'!C38,0)</f>
        <v>14428072</v>
      </c>
      <c r="E38" s="198">
        <v>0</v>
      </c>
      <c r="F38" s="199">
        <f>'3_Levels 1&amp;2'!C38</f>
        <v>25775</v>
      </c>
      <c r="G38" s="38">
        <f t="shared" si="1"/>
        <v>1839234</v>
      </c>
      <c r="H38" s="199">
        <f>'3_Levels 1&amp;2'!C38</f>
        <v>25775</v>
      </c>
      <c r="I38" s="38">
        <f t="shared" si="2"/>
        <v>2577500</v>
      </c>
      <c r="J38" s="38">
        <f t="shared" si="3"/>
        <v>4416734</v>
      </c>
      <c r="K38" s="38">
        <f t="shared" si="4"/>
        <v>18844806</v>
      </c>
    </row>
    <row r="39" spans="1:11" ht="15.6" customHeight="1" x14ac:dyDescent="0.2">
      <c r="A39" s="36">
        <v>33</v>
      </c>
      <c r="B39" s="37" t="s">
        <v>163</v>
      </c>
      <c r="C39" s="38">
        <v>655.31000000000006</v>
      </c>
      <c r="D39" s="38">
        <f>ROUND(C39*'3_Levels 1&amp;2'!C39,0)</f>
        <v>878771</v>
      </c>
      <c r="E39" s="198">
        <v>0</v>
      </c>
      <c r="F39" s="199">
        <f>'3_Levels 1&amp;2'!C39</f>
        <v>1341</v>
      </c>
      <c r="G39" s="38">
        <f t="shared" si="1"/>
        <v>95690</v>
      </c>
      <c r="H39" s="199">
        <f>'3_Levels 1&amp;2'!C39</f>
        <v>1341</v>
      </c>
      <c r="I39" s="38">
        <f t="shared" si="2"/>
        <v>134100</v>
      </c>
      <c r="J39" s="38">
        <f t="shared" si="3"/>
        <v>229790</v>
      </c>
      <c r="K39" s="38">
        <f t="shared" si="4"/>
        <v>1108561</v>
      </c>
    </row>
    <row r="40" spans="1:11" ht="15.6" customHeight="1" x14ac:dyDescent="0.2">
      <c r="A40" s="36">
        <v>34</v>
      </c>
      <c r="B40" s="37" t="s">
        <v>164</v>
      </c>
      <c r="C40" s="38">
        <v>644.11000000000013</v>
      </c>
      <c r="D40" s="38">
        <f>ROUND(C40*'3_Levels 1&amp;2'!C40,0)</f>
        <v>2152616</v>
      </c>
      <c r="E40" s="198">
        <v>0</v>
      </c>
      <c r="F40" s="199">
        <f>'3_Levels 1&amp;2'!C40</f>
        <v>3342</v>
      </c>
      <c r="G40" s="38">
        <f t="shared" si="1"/>
        <v>238476</v>
      </c>
      <c r="H40" s="199">
        <f>'3_Levels 1&amp;2'!C40</f>
        <v>3342</v>
      </c>
      <c r="I40" s="38">
        <f t="shared" si="2"/>
        <v>334200</v>
      </c>
      <c r="J40" s="38">
        <f t="shared" si="3"/>
        <v>572676</v>
      </c>
      <c r="K40" s="38">
        <f t="shared" si="4"/>
        <v>2725292</v>
      </c>
    </row>
    <row r="41" spans="1:11" ht="15.6" customHeight="1" x14ac:dyDescent="0.2">
      <c r="A41" s="47">
        <v>35</v>
      </c>
      <c r="B41" s="48" t="s">
        <v>165</v>
      </c>
      <c r="C41" s="49">
        <v>537.96</v>
      </c>
      <c r="D41" s="49">
        <f>ROUND(C41*'3_Levels 1&amp;2'!C41,0)</f>
        <v>2910364</v>
      </c>
      <c r="E41" s="200">
        <v>0</v>
      </c>
      <c r="F41" s="201">
        <f>'3_Levels 1&amp;2'!C41</f>
        <v>5410</v>
      </c>
      <c r="G41" s="49">
        <f t="shared" si="1"/>
        <v>386043</v>
      </c>
      <c r="H41" s="201">
        <f>'3_Levels 1&amp;2'!C41</f>
        <v>5410</v>
      </c>
      <c r="I41" s="49">
        <f t="shared" si="2"/>
        <v>541000</v>
      </c>
      <c r="J41" s="49">
        <f t="shared" si="3"/>
        <v>927043</v>
      </c>
      <c r="K41" s="49">
        <f t="shared" si="4"/>
        <v>3837407</v>
      </c>
    </row>
    <row r="42" spans="1:11" ht="15.6" customHeight="1" x14ac:dyDescent="0.2">
      <c r="A42" s="36">
        <v>36</v>
      </c>
      <c r="B42" s="37" t="s">
        <v>166</v>
      </c>
      <c r="C42" s="38">
        <v>732.46</v>
      </c>
      <c r="D42" s="202">
        <f>ROUND(('8_2.1.21 SIS'!C42*C42)+(SUM('8_2.1.21 SIS'!D42:AU42)*'9_Per Pupil Summary'!G41),0)</f>
        <v>33498811</v>
      </c>
      <c r="E42" s="198">
        <v>0</v>
      </c>
      <c r="F42" s="199">
        <f>'3_Levels 1&amp;2'!C42</f>
        <v>45700</v>
      </c>
      <c r="G42" s="38">
        <f t="shared" si="1"/>
        <v>3261027</v>
      </c>
      <c r="H42" s="199">
        <f>'3_Levels 1&amp;2'!C42</f>
        <v>45700</v>
      </c>
      <c r="I42" s="38">
        <f t="shared" si="2"/>
        <v>4570000</v>
      </c>
      <c r="J42" s="38">
        <f t="shared" si="3"/>
        <v>7831027</v>
      </c>
      <c r="K42" s="38">
        <f t="shared" si="4"/>
        <v>41329838</v>
      </c>
    </row>
    <row r="43" spans="1:11" ht="15.6" customHeight="1" x14ac:dyDescent="0.2">
      <c r="A43" s="36">
        <v>37</v>
      </c>
      <c r="B43" s="37" t="s">
        <v>167</v>
      </c>
      <c r="C43" s="38">
        <v>653.61</v>
      </c>
      <c r="D43" s="38">
        <f>ROUND(C43*'3_Levels 1&amp;2'!C43,0)</f>
        <v>11849949</v>
      </c>
      <c r="E43" s="198">
        <v>0</v>
      </c>
      <c r="F43" s="199">
        <f>'3_Levels 1&amp;2'!C43</f>
        <v>18130</v>
      </c>
      <c r="G43" s="38">
        <f t="shared" si="1"/>
        <v>1293707</v>
      </c>
      <c r="H43" s="199">
        <f>'3_Levels 1&amp;2'!C43</f>
        <v>18130</v>
      </c>
      <c r="I43" s="38">
        <f t="shared" si="2"/>
        <v>1813000</v>
      </c>
      <c r="J43" s="38">
        <f t="shared" si="3"/>
        <v>3106707</v>
      </c>
      <c r="K43" s="38">
        <f t="shared" si="4"/>
        <v>14956656</v>
      </c>
    </row>
    <row r="44" spans="1:11" ht="15.6" customHeight="1" x14ac:dyDescent="0.2">
      <c r="A44" s="36">
        <v>38</v>
      </c>
      <c r="B44" s="37" t="s">
        <v>168</v>
      </c>
      <c r="C44" s="38">
        <v>829.92000000000007</v>
      </c>
      <c r="D44" s="38">
        <f>ROUND(C44*'3_Levels 1&amp;2'!C44,0)</f>
        <v>3158676</v>
      </c>
      <c r="E44" s="198">
        <v>1258024</v>
      </c>
      <c r="F44" s="199"/>
      <c r="G44" s="38">
        <f t="shared" si="1"/>
        <v>0</v>
      </c>
      <c r="H44" s="199">
        <f>'3_Levels 1&amp;2'!C44</f>
        <v>3806</v>
      </c>
      <c r="I44" s="38">
        <f t="shared" si="2"/>
        <v>380600</v>
      </c>
      <c r="J44" s="38">
        <f t="shared" si="3"/>
        <v>1638624</v>
      </c>
      <c r="K44" s="38">
        <f t="shared" si="4"/>
        <v>4797300</v>
      </c>
    </row>
    <row r="45" spans="1:11" ht="15.6" customHeight="1" x14ac:dyDescent="0.2">
      <c r="A45" s="36">
        <v>39</v>
      </c>
      <c r="B45" s="37" t="s">
        <v>169</v>
      </c>
      <c r="C45" s="38">
        <v>779.66</v>
      </c>
      <c r="D45" s="38">
        <f>ROUND(C45*'3_Levels 1&amp;2'!C45,0)</f>
        <v>1999048</v>
      </c>
      <c r="E45" s="198">
        <v>324688</v>
      </c>
      <c r="F45" s="199">
        <f>'3_Levels 1&amp;2'!C45</f>
        <v>2564</v>
      </c>
      <c r="G45" s="38">
        <f t="shared" si="1"/>
        <v>182960</v>
      </c>
      <c r="H45" s="199">
        <f>'3_Levels 1&amp;2'!C45</f>
        <v>2564</v>
      </c>
      <c r="I45" s="38">
        <f t="shared" si="2"/>
        <v>256400</v>
      </c>
      <c r="J45" s="38">
        <f t="shared" si="3"/>
        <v>764048</v>
      </c>
      <c r="K45" s="38">
        <f t="shared" si="4"/>
        <v>2763096</v>
      </c>
    </row>
    <row r="46" spans="1:11" ht="15.6" customHeight="1" x14ac:dyDescent="0.2">
      <c r="A46" s="47">
        <v>40</v>
      </c>
      <c r="B46" s="48" t="s">
        <v>170</v>
      </c>
      <c r="C46" s="49">
        <v>700.2700000000001</v>
      </c>
      <c r="D46" s="49">
        <f>ROUND(C46*'3_Levels 1&amp;2'!C46,0)</f>
        <v>14951465</v>
      </c>
      <c r="E46" s="200">
        <v>0</v>
      </c>
      <c r="F46" s="201">
        <f>'3_Levels 1&amp;2'!C46</f>
        <v>21351</v>
      </c>
      <c r="G46" s="49">
        <f t="shared" si="1"/>
        <v>1523549</v>
      </c>
      <c r="H46" s="201">
        <f>'3_Levels 1&amp;2'!C46</f>
        <v>21351</v>
      </c>
      <c r="I46" s="49">
        <f t="shared" si="2"/>
        <v>2135100</v>
      </c>
      <c r="J46" s="49">
        <f t="shared" si="3"/>
        <v>3658649</v>
      </c>
      <c r="K46" s="49">
        <f t="shared" si="4"/>
        <v>18610114</v>
      </c>
    </row>
    <row r="47" spans="1:11" ht="15.6" customHeight="1" x14ac:dyDescent="0.2">
      <c r="A47" s="36">
        <v>41</v>
      </c>
      <c r="B47" s="37" t="s">
        <v>171</v>
      </c>
      <c r="C47" s="38">
        <v>886.22</v>
      </c>
      <c r="D47" s="202">
        <f>ROUND(C47*'3_Levels 1&amp;2'!C47,0)</f>
        <v>1105116</v>
      </c>
      <c r="E47" s="198">
        <v>0</v>
      </c>
      <c r="F47" s="199">
        <f>'3_Levels 1&amp;2'!C47</f>
        <v>1247</v>
      </c>
      <c r="G47" s="38">
        <f t="shared" si="1"/>
        <v>88983</v>
      </c>
      <c r="H47" s="199">
        <f>'3_Levels 1&amp;2'!C47</f>
        <v>1247</v>
      </c>
      <c r="I47" s="38">
        <f t="shared" si="2"/>
        <v>124700</v>
      </c>
      <c r="J47" s="38">
        <f t="shared" si="3"/>
        <v>213683</v>
      </c>
      <c r="K47" s="38">
        <f t="shared" si="4"/>
        <v>1318799</v>
      </c>
    </row>
    <row r="48" spans="1:11" ht="15.6" customHeight="1" x14ac:dyDescent="0.2">
      <c r="A48" s="36">
        <v>42</v>
      </c>
      <c r="B48" s="37" t="s">
        <v>172</v>
      </c>
      <c r="C48" s="38">
        <v>534.28</v>
      </c>
      <c r="D48" s="38">
        <f>ROUND(C48*'3_Levels 1&amp;2'!C48,0)</f>
        <v>1439885</v>
      </c>
      <c r="E48" s="198">
        <v>0</v>
      </c>
      <c r="F48" s="199">
        <f>'3_Levels 1&amp;2'!C48</f>
        <v>2695</v>
      </c>
      <c r="G48" s="38">
        <f t="shared" si="1"/>
        <v>192308</v>
      </c>
      <c r="H48" s="199">
        <f>'3_Levels 1&amp;2'!C48</f>
        <v>2695</v>
      </c>
      <c r="I48" s="38">
        <f t="shared" si="2"/>
        <v>269500</v>
      </c>
      <c r="J48" s="38">
        <f t="shared" si="3"/>
        <v>461808</v>
      </c>
      <c r="K48" s="38">
        <f t="shared" si="4"/>
        <v>1901693</v>
      </c>
    </row>
    <row r="49" spans="1:11" ht="15.6" customHeight="1" x14ac:dyDescent="0.2">
      <c r="A49" s="36">
        <v>43</v>
      </c>
      <c r="B49" s="37" t="s">
        <v>173</v>
      </c>
      <c r="C49" s="38">
        <v>574.6099999999999</v>
      </c>
      <c r="D49" s="38">
        <f>ROUND(C49*'3_Levels 1&amp;2'!C49,0)</f>
        <v>2262814</v>
      </c>
      <c r="E49" s="198">
        <v>0</v>
      </c>
      <c r="F49" s="199">
        <f>'3_Levels 1&amp;2'!C49</f>
        <v>3938</v>
      </c>
      <c r="G49" s="38">
        <f t="shared" si="1"/>
        <v>281005</v>
      </c>
      <c r="H49" s="199">
        <f>'3_Levels 1&amp;2'!C49</f>
        <v>3938</v>
      </c>
      <c r="I49" s="38">
        <f t="shared" si="2"/>
        <v>393800</v>
      </c>
      <c r="J49" s="38">
        <f t="shared" si="3"/>
        <v>674805</v>
      </c>
      <c r="K49" s="38">
        <f t="shared" si="4"/>
        <v>2937619</v>
      </c>
    </row>
    <row r="50" spans="1:11" ht="15.6" customHeight="1" x14ac:dyDescent="0.2">
      <c r="A50" s="36">
        <v>44</v>
      </c>
      <c r="B50" s="37" t="s">
        <v>174</v>
      </c>
      <c r="C50" s="38">
        <v>663.16000000000008</v>
      </c>
      <c r="D50" s="38">
        <f>ROUND(C50*'3_Levels 1&amp;2'!C50,0)</f>
        <v>5035374</v>
      </c>
      <c r="E50" s="198">
        <v>0</v>
      </c>
      <c r="F50" s="199">
        <f>'3_Levels 1&amp;2'!C50</f>
        <v>7593</v>
      </c>
      <c r="G50" s="38">
        <f t="shared" si="1"/>
        <v>541816</v>
      </c>
      <c r="H50" s="199">
        <f>'3_Levels 1&amp;2'!C50</f>
        <v>7593</v>
      </c>
      <c r="I50" s="38">
        <f t="shared" si="2"/>
        <v>759300</v>
      </c>
      <c r="J50" s="38">
        <f t="shared" si="3"/>
        <v>1301116</v>
      </c>
      <c r="K50" s="38">
        <f t="shared" si="4"/>
        <v>6336490</v>
      </c>
    </row>
    <row r="51" spans="1:11" ht="15.6" customHeight="1" x14ac:dyDescent="0.2">
      <c r="A51" s="47">
        <v>45</v>
      </c>
      <c r="B51" s="48" t="s">
        <v>175</v>
      </c>
      <c r="C51" s="49">
        <v>753.96000000000015</v>
      </c>
      <c r="D51" s="49">
        <f>ROUND(C51*'3_Levels 1&amp;2'!C51,0)</f>
        <v>7048772</v>
      </c>
      <c r="E51" s="200">
        <v>2883682</v>
      </c>
      <c r="F51" s="201"/>
      <c r="G51" s="49">
        <f t="shared" si="1"/>
        <v>0</v>
      </c>
      <c r="H51" s="201">
        <f>'3_Levels 1&amp;2'!C51</f>
        <v>9349</v>
      </c>
      <c r="I51" s="49">
        <f t="shared" si="2"/>
        <v>934900</v>
      </c>
      <c r="J51" s="49">
        <f t="shared" si="3"/>
        <v>3818582</v>
      </c>
      <c r="K51" s="49">
        <f t="shared" si="4"/>
        <v>10867354</v>
      </c>
    </row>
    <row r="52" spans="1:11" ht="15.6" customHeight="1" x14ac:dyDescent="0.2">
      <c r="A52" s="36">
        <v>46</v>
      </c>
      <c r="B52" s="37" t="s">
        <v>176</v>
      </c>
      <c r="C52" s="38">
        <v>728.06</v>
      </c>
      <c r="D52" s="202">
        <f>ROUND(C52*'3_Levels 1&amp;2'!C52,0)</f>
        <v>850374</v>
      </c>
      <c r="E52" s="198">
        <v>0</v>
      </c>
      <c r="F52" s="199">
        <f>'3_Levels 1&amp;2'!C52</f>
        <v>1168</v>
      </c>
      <c r="G52" s="38">
        <f t="shared" si="1"/>
        <v>83345</v>
      </c>
      <c r="H52" s="199">
        <f>'3_Levels 1&amp;2'!C52</f>
        <v>1168</v>
      </c>
      <c r="I52" s="38">
        <f t="shared" si="2"/>
        <v>116800</v>
      </c>
      <c r="J52" s="38">
        <f t="shared" si="3"/>
        <v>200145</v>
      </c>
      <c r="K52" s="38">
        <f t="shared" si="4"/>
        <v>1050519</v>
      </c>
    </row>
    <row r="53" spans="1:11" ht="15.6" customHeight="1" x14ac:dyDescent="0.2">
      <c r="A53" s="36">
        <v>47</v>
      </c>
      <c r="B53" s="37" t="s">
        <v>177</v>
      </c>
      <c r="C53" s="38">
        <v>910.76</v>
      </c>
      <c r="D53" s="38">
        <f>ROUND(C53*'3_Levels 1&amp;2'!C53,0)</f>
        <v>3061064</v>
      </c>
      <c r="E53" s="198">
        <v>1060614</v>
      </c>
      <c r="F53" s="199"/>
      <c r="G53" s="38">
        <f t="shared" si="1"/>
        <v>0</v>
      </c>
      <c r="H53" s="199">
        <f>'3_Levels 1&amp;2'!C53</f>
        <v>3361</v>
      </c>
      <c r="I53" s="38">
        <f t="shared" si="2"/>
        <v>336100</v>
      </c>
      <c r="J53" s="38">
        <f t="shared" si="3"/>
        <v>1396714</v>
      </c>
      <c r="K53" s="38">
        <f t="shared" si="4"/>
        <v>4457778</v>
      </c>
    </row>
    <row r="54" spans="1:11" ht="15.6" customHeight="1" x14ac:dyDescent="0.2">
      <c r="A54" s="36">
        <v>48</v>
      </c>
      <c r="B54" s="37" t="s">
        <v>178</v>
      </c>
      <c r="C54" s="38">
        <v>871.07</v>
      </c>
      <c r="D54" s="38">
        <f>ROUND(C54*'3_Levels 1&amp;2'!C54,0)</f>
        <v>4821372</v>
      </c>
      <c r="E54" s="198">
        <v>0</v>
      </c>
      <c r="F54" s="199">
        <f>'3_Levels 1&amp;2'!C54</f>
        <v>5535</v>
      </c>
      <c r="G54" s="38">
        <f t="shared" si="1"/>
        <v>394963</v>
      </c>
      <c r="H54" s="199">
        <f>'3_Levels 1&amp;2'!C54</f>
        <v>5535</v>
      </c>
      <c r="I54" s="38">
        <f t="shared" si="2"/>
        <v>553500</v>
      </c>
      <c r="J54" s="38">
        <f t="shared" si="3"/>
        <v>948463</v>
      </c>
      <c r="K54" s="38">
        <f t="shared" si="4"/>
        <v>5769835</v>
      </c>
    </row>
    <row r="55" spans="1:11" ht="15.6" customHeight="1" x14ac:dyDescent="0.2">
      <c r="A55" s="36">
        <v>49</v>
      </c>
      <c r="B55" s="37" t="s">
        <v>179</v>
      </c>
      <c r="C55" s="38">
        <v>574.43999999999994</v>
      </c>
      <c r="D55" s="38">
        <f>ROUND(C55*'3_Levels 1&amp;2'!C55,0)</f>
        <v>7326982</v>
      </c>
      <c r="E55" s="198">
        <v>0</v>
      </c>
      <c r="F55" s="199">
        <f>'3_Levels 1&amp;2'!C55</f>
        <v>12755</v>
      </c>
      <c r="G55" s="38">
        <f t="shared" si="1"/>
        <v>910162</v>
      </c>
      <c r="H55" s="199">
        <f>'3_Levels 1&amp;2'!C55</f>
        <v>12755</v>
      </c>
      <c r="I55" s="38">
        <f t="shared" si="2"/>
        <v>1275500</v>
      </c>
      <c r="J55" s="38">
        <f t="shared" si="3"/>
        <v>2185662</v>
      </c>
      <c r="K55" s="38">
        <f t="shared" si="4"/>
        <v>9512644</v>
      </c>
    </row>
    <row r="56" spans="1:11" ht="15.6" customHeight="1" x14ac:dyDescent="0.2">
      <c r="A56" s="47">
        <v>50</v>
      </c>
      <c r="B56" s="48" t="s">
        <v>180</v>
      </c>
      <c r="C56" s="49">
        <v>634.46</v>
      </c>
      <c r="D56" s="49">
        <f>ROUND(C56*'3_Levels 1&amp;2'!C56,0)</f>
        <v>4641709</v>
      </c>
      <c r="E56" s="200">
        <v>0</v>
      </c>
      <c r="F56" s="201">
        <f>'3_Levels 1&amp;2'!C56</f>
        <v>7316</v>
      </c>
      <c r="G56" s="49">
        <f t="shared" si="1"/>
        <v>522050</v>
      </c>
      <c r="H56" s="201">
        <f>'3_Levels 1&amp;2'!C56</f>
        <v>7316</v>
      </c>
      <c r="I56" s="49">
        <f t="shared" si="2"/>
        <v>731600</v>
      </c>
      <c r="J56" s="49">
        <f t="shared" si="3"/>
        <v>1253650</v>
      </c>
      <c r="K56" s="49">
        <f t="shared" si="4"/>
        <v>5895359</v>
      </c>
    </row>
    <row r="57" spans="1:11" ht="15.6" customHeight="1" x14ac:dyDescent="0.2">
      <c r="A57" s="36">
        <v>51</v>
      </c>
      <c r="B57" s="37" t="s">
        <v>181</v>
      </c>
      <c r="C57" s="38">
        <v>706.66</v>
      </c>
      <c r="D57" s="202">
        <f>ROUND(C57*'3_Levels 1&amp;2'!C57,0)</f>
        <v>5468135</v>
      </c>
      <c r="E57" s="198">
        <v>0</v>
      </c>
      <c r="F57" s="199">
        <f>'3_Levels 1&amp;2'!C57</f>
        <v>7738</v>
      </c>
      <c r="G57" s="38">
        <f t="shared" si="1"/>
        <v>552163</v>
      </c>
      <c r="H57" s="199">
        <f>'3_Levels 1&amp;2'!C57</f>
        <v>7738</v>
      </c>
      <c r="I57" s="38">
        <f t="shared" si="2"/>
        <v>773800</v>
      </c>
      <c r="J57" s="38">
        <f t="shared" si="3"/>
        <v>1325963</v>
      </c>
      <c r="K57" s="38">
        <f t="shared" si="4"/>
        <v>6794098</v>
      </c>
    </row>
    <row r="58" spans="1:11" ht="15.6" customHeight="1" x14ac:dyDescent="0.2">
      <c r="A58" s="36">
        <v>52</v>
      </c>
      <c r="B58" s="37" t="s">
        <v>182</v>
      </c>
      <c r="C58" s="38">
        <v>658.37</v>
      </c>
      <c r="D58" s="38">
        <f>ROUND(C58*'3_Levels 1&amp;2'!C58,0)</f>
        <v>24415651</v>
      </c>
      <c r="E58" s="198">
        <v>0</v>
      </c>
      <c r="F58" s="199">
        <f>'3_Levels 1&amp;2'!C58</f>
        <v>37085</v>
      </c>
      <c r="G58" s="38">
        <f t="shared" si="1"/>
        <v>2646285</v>
      </c>
      <c r="H58" s="199">
        <f>'3_Levels 1&amp;2'!C58</f>
        <v>37085</v>
      </c>
      <c r="I58" s="38">
        <f t="shared" si="2"/>
        <v>3708500</v>
      </c>
      <c r="J58" s="38">
        <f t="shared" si="3"/>
        <v>6354785</v>
      </c>
      <c r="K58" s="38">
        <f t="shared" si="4"/>
        <v>30770436</v>
      </c>
    </row>
    <row r="59" spans="1:11" ht="15.6" customHeight="1" x14ac:dyDescent="0.2">
      <c r="A59" s="36">
        <v>53</v>
      </c>
      <c r="B59" s="37" t="s">
        <v>183</v>
      </c>
      <c r="C59" s="38">
        <v>689.74</v>
      </c>
      <c r="D59" s="38">
        <f>ROUND(C59*'3_Levels 1&amp;2'!C59,0)</f>
        <v>13165757</v>
      </c>
      <c r="E59" s="198">
        <v>0</v>
      </c>
      <c r="F59" s="199">
        <f>'3_Levels 1&amp;2'!C59</f>
        <v>19088</v>
      </c>
      <c r="G59" s="38">
        <f t="shared" si="1"/>
        <v>1362068</v>
      </c>
      <c r="H59" s="199">
        <f>'3_Levels 1&amp;2'!C59</f>
        <v>19088</v>
      </c>
      <c r="I59" s="38">
        <f t="shared" si="2"/>
        <v>1908800</v>
      </c>
      <c r="J59" s="38">
        <f t="shared" si="3"/>
        <v>3270868</v>
      </c>
      <c r="K59" s="38">
        <f t="shared" si="4"/>
        <v>16436625</v>
      </c>
    </row>
    <row r="60" spans="1:11" ht="15.6" customHeight="1" x14ac:dyDescent="0.2">
      <c r="A60" s="36">
        <v>54</v>
      </c>
      <c r="B60" s="37" t="s">
        <v>184</v>
      </c>
      <c r="C60" s="38">
        <v>951.45</v>
      </c>
      <c r="D60" s="38">
        <f>ROUND(C60*'3_Levels 1&amp;2'!C60,0)</f>
        <v>383434</v>
      </c>
      <c r="E60" s="198">
        <v>0</v>
      </c>
      <c r="F60" s="199">
        <f>'3_Levels 1&amp;2'!C60</f>
        <v>403</v>
      </c>
      <c r="G60" s="38">
        <f t="shared" si="1"/>
        <v>28757</v>
      </c>
      <c r="H60" s="199">
        <f>'3_Levels 1&amp;2'!C60</f>
        <v>403</v>
      </c>
      <c r="I60" s="38">
        <f t="shared" si="2"/>
        <v>40300</v>
      </c>
      <c r="J60" s="38">
        <f t="shared" si="3"/>
        <v>69057</v>
      </c>
      <c r="K60" s="38">
        <f t="shared" si="4"/>
        <v>452491</v>
      </c>
    </row>
    <row r="61" spans="1:11" ht="15.6" customHeight="1" x14ac:dyDescent="0.2">
      <c r="A61" s="47">
        <v>55</v>
      </c>
      <c r="B61" s="48" t="s">
        <v>185</v>
      </c>
      <c r="C61" s="49">
        <v>795.14</v>
      </c>
      <c r="D61" s="49">
        <f>ROUND(C61*'3_Levels 1&amp;2'!C61,0)</f>
        <v>13031549</v>
      </c>
      <c r="E61" s="200">
        <v>0</v>
      </c>
      <c r="F61" s="201">
        <f>'3_Levels 1&amp;2'!C61</f>
        <v>16389</v>
      </c>
      <c r="G61" s="49">
        <f t="shared" si="1"/>
        <v>1169474</v>
      </c>
      <c r="H61" s="201">
        <f>'3_Levels 1&amp;2'!C61</f>
        <v>16389</v>
      </c>
      <c r="I61" s="49">
        <f t="shared" si="2"/>
        <v>1638900</v>
      </c>
      <c r="J61" s="49">
        <f t="shared" si="3"/>
        <v>2808374</v>
      </c>
      <c r="K61" s="49">
        <f t="shared" si="4"/>
        <v>15839923</v>
      </c>
    </row>
    <row r="62" spans="1:11" ht="15.6" customHeight="1" x14ac:dyDescent="0.2">
      <c r="A62" s="36">
        <v>56</v>
      </c>
      <c r="B62" s="37" t="s">
        <v>186</v>
      </c>
      <c r="C62" s="38">
        <v>614.66000000000008</v>
      </c>
      <c r="D62" s="202">
        <f>ROUND(C62*'3_Levels 1&amp;2'!C62,0)</f>
        <v>1798495</v>
      </c>
      <c r="E62" s="198">
        <v>0</v>
      </c>
      <c r="F62" s="199">
        <f>'3_Levels 1&amp;2'!C62</f>
        <v>2926</v>
      </c>
      <c r="G62" s="38">
        <f t="shared" si="1"/>
        <v>208791</v>
      </c>
      <c r="H62" s="199">
        <f>'3_Levels 1&amp;2'!C62</f>
        <v>2926</v>
      </c>
      <c r="I62" s="38">
        <f t="shared" si="2"/>
        <v>292600</v>
      </c>
      <c r="J62" s="38">
        <f t="shared" si="3"/>
        <v>501391</v>
      </c>
      <c r="K62" s="38">
        <f t="shared" si="4"/>
        <v>2299886</v>
      </c>
    </row>
    <row r="63" spans="1:11" ht="15.6" customHeight="1" x14ac:dyDescent="0.2">
      <c r="A63" s="36">
        <v>57</v>
      </c>
      <c r="B63" s="37" t="s">
        <v>187</v>
      </c>
      <c r="C63" s="38">
        <v>764.51</v>
      </c>
      <c r="D63" s="38">
        <f>ROUND(C63*'3_Levels 1&amp;2'!C63,0)</f>
        <v>7098475</v>
      </c>
      <c r="E63" s="198">
        <v>0</v>
      </c>
      <c r="F63" s="199">
        <f>'3_Levels 1&amp;2'!C63</f>
        <v>9285</v>
      </c>
      <c r="G63" s="38">
        <f t="shared" si="1"/>
        <v>662552</v>
      </c>
      <c r="H63" s="199">
        <f>'3_Levels 1&amp;2'!C63</f>
        <v>9285</v>
      </c>
      <c r="I63" s="38">
        <f t="shared" si="2"/>
        <v>928500</v>
      </c>
      <c r="J63" s="38">
        <f t="shared" si="3"/>
        <v>1591052</v>
      </c>
      <c r="K63" s="38">
        <f t="shared" si="4"/>
        <v>8689527</v>
      </c>
    </row>
    <row r="64" spans="1:11" ht="15.6" customHeight="1" x14ac:dyDescent="0.2">
      <c r="A64" s="36">
        <v>58</v>
      </c>
      <c r="B64" s="37" t="s">
        <v>188</v>
      </c>
      <c r="C64" s="38">
        <v>697.04</v>
      </c>
      <c r="D64" s="38">
        <f>ROUND(C64*'3_Levels 1&amp;2'!C64,0)</f>
        <v>5373481</v>
      </c>
      <c r="E64" s="198">
        <v>0</v>
      </c>
      <c r="F64" s="199">
        <f>'3_Levels 1&amp;2'!C64</f>
        <v>7709</v>
      </c>
      <c r="G64" s="38">
        <f t="shared" si="1"/>
        <v>550093</v>
      </c>
      <c r="H64" s="199">
        <f>'3_Levels 1&amp;2'!C64</f>
        <v>7709</v>
      </c>
      <c r="I64" s="38">
        <f t="shared" si="2"/>
        <v>770900</v>
      </c>
      <c r="J64" s="38">
        <f t="shared" si="3"/>
        <v>1320993</v>
      </c>
      <c r="K64" s="38">
        <f t="shared" si="4"/>
        <v>6694474</v>
      </c>
    </row>
    <row r="65" spans="1:11" ht="15.6" customHeight="1" x14ac:dyDescent="0.2">
      <c r="A65" s="36">
        <v>59</v>
      </c>
      <c r="B65" s="37" t="s">
        <v>189</v>
      </c>
      <c r="C65" s="38">
        <v>689.52</v>
      </c>
      <c r="D65" s="38">
        <f>ROUND(C65*'3_Levels 1&amp;2'!C65,0)</f>
        <v>3323486</v>
      </c>
      <c r="E65" s="198">
        <v>0</v>
      </c>
      <c r="F65" s="199">
        <f>'3_Levels 1&amp;2'!C65</f>
        <v>4820</v>
      </c>
      <c r="G65" s="38">
        <f t="shared" si="1"/>
        <v>343942</v>
      </c>
      <c r="H65" s="199">
        <f>'3_Levels 1&amp;2'!C65</f>
        <v>4820</v>
      </c>
      <c r="I65" s="38">
        <f t="shared" si="2"/>
        <v>482000</v>
      </c>
      <c r="J65" s="38">
        <f t="shared" si="3"/>
        <v>825942</v>
      </c>
      <c r="K65" s="38">
        <f t="shared" si="4"/>
        <v>4149428</v>
      </c>
    </row>
    <row r="66" spans="1:11" ht="15.6" customHeight="1" x14ac:dyDescent="0.2">
      <c r="A66" s="47">
        <v>60</v>
      </c>
      <c r="B66" s="48" t="s">
        <v>190</v>
      </c>
      <c r="C66" s="49">
        <v>594.04</v>
      </c>
      <c r="D66" s="49">
        <f>ROUND(C66*'3_Levels 1&amp;2'!C66,0)</f>
        <v>3301080</v>
      </c>
      <c r="E66" s="200">
        <v>0</v>
      </c>
      <c r="F66" s="201">
        <f>'3_Levels 1&amp;2'!C66</f>
        <v>5557</v>
      </c>
      <c r="G66" s="49">
        <f t="shared" si="1"/>
        <v>396532</v>
      </c>
      <c r="H66" s="201">
        <f>'3_Levels 1&amp;2'!C66</f>
        <v>5557</v>
      </c>
      <c r="I66" s="49">
        <f t="shared" si="2"/>
        <v>555700</v>
      </c>
      <c r="J66" s="49">
        <f t="shared" si="3"/>
        <v>952232</v>
      </c>
      <c r="K66" s="49">
        <f t="shared" si="4"/>
        <v>4253312</v>
      </c>
    </row>
    <row r="67" spans="1:11" ht="15.6" customHeight="1" x14ac:dyDescent="0.2">
      <c r="A67" s="36">
        <v>61</v>
      </c>
      <c r="B67" s="37" t="s">
        <v>191</v>
      </c>
      <c r="C67" s="38">
        <v>833.70999999999992</v>
      </c>
      <c r="D67" s="202">
        <f>ROUND(C67*'3_Levels 1&amp;2'!C67,0)</f>
        <v>3242298</v>
      </c>
      <c r="E67" s="198">
        <v>0</v>
      </c>
      <c r="F67" s="199">
        <f>'3_Levels 1&amp;2'!C67</f>
        <v>3889</v>
      </c>
      <c r="G67" s="38">
        <f t="shared" si="1"/>
        <v>277508</v>
      </c>
      <c r="H67" s="199">
        <f>'3_Levels 1&amp;2'!C67</f>
        <v>3889</v>
      </c>
      <c r="I67" s="38">
        <f t="shared" si="2"/>
        <v>388900</v>
      </c>
      <c r="J67" s="38">
        <f t="shared" si="3"/>
        <v>666408</v>
      </c>
      <c r="K67" s="38">
        <f t="shared" si="4"/>
        <v>3908706</v>
      </c>
    </row>
    <row r="68" spans="1:11" ht="15.6" customHeight="1" x14ac:dyDescent="0.2">
      <c r="A68" s="36">
        <v>62</v>
      </c>
      <c r="B68" s="37" t="s">
        <v>192</v>
      </c>
      <c r="C68" s="38">
        <v>516.08000000000004</v>
      </c>
      <c r="D68" s="38">
        <f>ROUND(C68*'3_Levels 1&amp;2'!C68,0)</f>
        <v>948039</v>
      </c>
      <c r="E68" s="198">
        <v>0</v>
      </c>
      <c r="F68" s="199">
        <f>'3_Levels 1&amp;2'!C68</f>
        <v>1837</v>
      </c>
      <c r="G68" s="38">
        <f t="shared" si="1"/>
        <v>131083</v>
      </c>
      <c r="H68" s="199">
        <f>'3_Levels 1&amp;2'!C68</f>
        <v>1837</v>
      </c>
      <c r="I68" s="38">
        <f t="shared" si="2"/>
        <v>183700</v>
      </c>
      <c r="J68" s="38">
        <f t="shared" si="3"/>
        <v>314783</v>
      </c>
      <c r="K68" s="38">
        <f t="shared" si="4"/>
        <v>1262822</v>
      </c>
    </row>
    <row r="69" spans="1:11" ht="15.6" customHeight="1" x14ac:dyDescent="0.2">
      <c r="A69" s="36">
        <v>63</v>
      </c>
      <c r="B69" s="37" t="s">
        <v>193</v>
      </c>
      <c r="C69" s="38">
        <v>756.79</v>
      </c>
      <c r="D69" s="38">
        <f>ROUND(C69*'3_Levels 1&amp;2'!C69,0)</f>
        <v>1565799</v>
      </c>
      <c r="E69" s="198">
        <v>680156</v>
      </c>
      <c r="F69" s="199"/>
      <c r="G69" s="38">
        <f t="shared" si="1"/>
        <v>0</v>
      </c>
      <c r="H69" s="199">
        <f>'3_Levels 1&amp;2'!C69</f>
        <v>2069</v>
      </c>
      <c r="I69" s="38">
        <f t="shared" si="2"/>
        <v>206900</v>
      </c>
      <c r="J69" s="38">
        <f t="shared" si="3"/>
        <v>887056</v>
      </c>
      <c r="K69" s="38">
        <f t="shared" si="4"/>
        <v>2452855</v>
      </c>
    </row>
    <row r="70" spans="1:11" ht="15.6" customHeight="1" x14ac:dyDescent="0.2">
      <c r="A70" s="36">
        <v>64</v>
      </c>
      <c r="B70" s="37" t="s">
        <v>194</v>
      </c>
      <c r="C70" s="38">
        <v>592.66</v>
      </c>
      <c r="D70" s="38">
        <f>ROUND(C70*'3_Levels 1&amp;2'!C70,0)</f>
        <v>1122498</v>
      </c>
      <c r="E70" s="198">
        <v>0</v>
      </c>
      <c r="F70" s="199">
        <f>'3_Levels 1&amp;2'!C70</f>
        <v>1894</v>
      </c>
      <c r="G70" s="38">
        <f t="shared" si="1"/>
        <v>135151</v>
      </c>
      <c r="H70" s="199">
        <f>'3_Levels 1&amp;2'!C70</f>
        <v>1894</v>
      </c>
      <c r="I70" s="38">
        <f t="shared" si="2"/>
        <v>189400</v>
      </c>
      <c r="J70" s="38">
        <f t="shared" si="3"/>
        <v>324551</v>
      </c>
      <c r="K70" s="38">
        <f t="shared" si="4"/>
        <v>1447049</v>
      </c>
    </row>
    <row r="71" spans="1:11" ht="15.6" customHeight="1" x14ac:dyDescent="0.2">
      <c r="A71" s="47">
        <v>65</v>
      </c>
      <c r="B71" s="48" t="s">
        <v>195</v>
      </c>
      <c r="C71" s="49">
        <v>829.12</v>
      </c>
      <c r="D71" s="49">
        <f>ROUND(C71*'3_Levels 1&amp;2'!C71,0)</f>
        <v>6486206</v>
      </c>
      <c r="E71" s="200">
        <v>0</v>
      </c>
      <c r="F71" s="201">
        <f>'3_Levels 1&amp;2'!C71</f>
        <v>7823</v>
      </c>
      <c r="G71" s="49">
        <f>ROUND($G$3*F71,0)</f>
        <v>558228</v>
      </c>
      <c r="H71" s="201">
        <f>'3_Levels 1&amp;2'!C71</f>
        <v>7823</v>
      </c>
      <c r="I71" s="49">
        <f>ROUND(H71*$I$3,0)</f>
        <v>782300</v>
      </c>
      <c r="J71" s="49">
        <f>E71+G71+I71</f>
        <v>1340528</v>
      </c>
      <c r="K71" s="49">
        <f t="shared" ref="K71:K75" si="5">D71+E71+G71+I71</f>
        <v>7826734</v>
      </c>
    </row>
    <row r="72" spans="1:11" ht="15.6" customHeight="1" x14ac:dyDescent="0.2">
      <c r="A72" s="36">
        <v>66</v>
      </c>
      <c r="B72" s="37" t="s">
        <v>196</v>
      </c>
      <c r="C72" s="38">
        <v>730.06</v>
      </c>
      <c r="D72" s="202">
        <f>ROUND(C72*'3_Levels 1&amp;2'!C72,0)</f>
        <v>1376893</v>
      </c>
      <c r="E72" s="198">
        <v>0</v>
      </c>
      <c r="F72" s="199">
        <f>'3_Levels 1&amp;2'!C72</f>
        <v>1886</v>
      </c>
      <c r="G72" s="38">
        <f>ROUND($G$3*F72,0)</f>
        <v>134580</v>
      </c>
      <c r="H72" s="199">
        <f>'3_Levels 1&amp;2'!C72</f>
        <v>1886</v>
      </c>
      <c r="I72" s="38">
        <f>ROUND(H72*$I$3,0)</f>
        <v>188600</v>
      </c>
      <c r="J72" s="38">
        <f>E72+G72+I72</f>
        <v>323180</v>
      </c>
      <c r="K72" s="38">
        <f t="shared" si="5"/>
        <v>1700073</v>
      </c>
    </row>
    <row r="73" spans="1:11" ht="15.6" customHeight="1" x14ac:dyDescent="0.2">
      <c r="A73" s="36">
        <v>67</v>
      </c>
      <c r="B73" s="37" t="s">
        <v>197</v>
      </c>
      <c r="C73" s="38">
        <v>715.61</v>
      </c>
      <c r="D73" s="38">
        <f>ROUND(C73*'3_Levels 1&amp;2'!C73,0)</f>
        <v>3843541</v>
      </c>
      <c r="E73" s="198">
        <v>0</v>
      </c>
      <c r="F73" s="199">
        <f>'3_Levels 1&amp;2'!C73</f>
        <v>5371</v>
      </c>
      <c r="G73" s="38">
        <f>ROUND($G$3*F73,0)</f>
        <v>383260</v>
      </c>
      <c r="H73" s="199">
        <f>'3_Levels 1&amp;2'!C73</f>
        <v>5371</v>
      </c>
      <c r="I73" s="38">
        <f>ROUND(H73*$I$3,0)</f>
        <v>537100</v>
      </c>
      <c r="J73" s="38">
        <f>E73+G73+I73</f>
        <v>920360</v>
      </c>
      <c r="K73" s="38">
        <f t="shared" si="5"/>
        <v>4763901</v>
      </c>
    </row>
    <row r="74" spans="1:11" ht="15.6" customHeight="1" x14ac:dyDescent="0.2">
      <c r="A74" s="36">
        <v>68</v>
      </c>
      <c r="B74" s="37" t="s">
        <v>198</v>
      </c>
      <c r="C74" s="38">
        <v>798.7</v>
      </c>
      <c r="D74" s="38">
        <f>ROUND(C74*'3_Levels 1&amp;2'!C74,0)</f>
        <v>1232394</v>
      </c>
      <c r="E74" s="198">
        <v>0</v>
      </c>
      <c r="F74" s="199">
        <f>'3_Levels 1&amp;2'!C74</f>
        <v>1543</v>
      </c>
      <c r="G74" s="38">
        <f>ROUND($G$3*F74,0)</f>
        <v>110104</v>
      </c>
      <c r="H74" s="199">
        <f>'3_Levels 1&amp;2'!C74</f>
        <v>1543</v>
      </c>
      <c r="I74" s="38">
        <f>ROUND(H74*$I$3,0)</f>
        <v>154300</v>
      </c>
      <c r="J74" s="38">
        <f>E74+G74+I74</f>
        <v>264404</v>
      </c>
      <c r="K74" s="38">
        <f t="shared" si="5"/>
        <v>1496798</v>
      </c>
    </row>
    <row r="75" spans="1:11" ht="15.6" customHeight="1" x14ac:dyDescent="0.2">
      <c r="A75" s="98">
        <v>69</v>
      </c>
      <c r="B75" s="99" t="s">
        <v>199</v>
      </c>
      <c r="C75" s="55">
        <v>705.67</v>
      </c>
      <c r="D75" s="55">
        <f>ROUND(C75*'3_Levels 1&amp;2'!C75,0)</f>
        <v>3358989</v>
      </c>
      <c r="E75" s="203">
        <v>0</v>
      </c>
      <c r="F75" s="204">
        <f>'3_Levels 1&amp;2'!C75</f>
        <v>4760</v>
      </c>
      <c r="G75" s="55">
        <f>ROUND($G$3*F75,0)</f>
        <v>339661</v>
      </c>
      <c r="H75" s="204">
        <f>'3_Levels 1&amp;2'!C75</f>
        <v>4760</v>
      </c>
      <c r="I75" s="55">
        <f>ROUND(H75*$I$3,0)</f>
        <v>476000</v>
      </c>
      <c r="J75" s="55">
        <f>E75+G75+I75</f>
        <v>815661</v>
      </c>
      <c r="K75" s="55">
        <f t="shared" si="5"/>
        <v>4174650</v>
      </c>
    </row>
    <row r="76" spans="1:11" s="211" customFormat="1" ht="15.6" customHeight="1" thickBot="1" x14ac:dyDescent="0.25">
      <c r="A76" s="205"/>
      <c r="B76" s="206" t="s">
        <v>200</v>
      </c>
      <c r="C76" s="207">
        <f>ROUND(D76/'3_Levels 1&amp;2'!C76,2)</f>
        <v>706.78</v>
      </c>
      <c r="D76" s="61">
        <f t="shared" ref="D76:I76" si="6">SUM(D7:D75)</f>
        <v>470465223</v>
      </c>
      <c r="E76" s="208">
        <f t="shared" si="6"/>
        <v>38336714</v>
      </c>
      <c r="F76" s="209">
        <f t="shared" si="6"/>
        <v>538925</v>
      </c>
      <c r="G76" s="208">
        <f t="shared" si="6"/>
        <v>38456216</v>
      </c>
      <c r="H76" s="210">
        <f t="shared" si="6"/>
        <v>665649</v>
      </c>
      <c r="I76" s="207">
        <f t="shared" si="6"/>
        <v>66564900</v>
      </c>
      <c r="J76" s="207">
        <f>SUM(J7:J75)</f>
        <v>143357830</v>
      </c>
      <c r="K76" s="207">
        <f>SUM(K7:K75)</f>
        <v>613823053</v>
      </c>
    </row>
    <row r="77" spans="1:11" ht="13.5" thickTop="1" x14ac:dyDescent="0.2"/>
  </sheetData>
  <sheetProtection password="D893" sheet="1" objects="1" scenarios="1" formatCells="0" formatColumns="0" formatRows="0"/>
  <mergeCells count="11">
    <mergeCell ref="A1:B3"/>
    <mergeCell ref="C1:D1"/>
    <mergeCell ref="E1:G1"/>
    <mergeCell ref="H1:I1"/>
    <mergeCell ref="J1:J3"/>
    <mergeCell ref="K1:K3"/>
    <mergeCell ref="C2:C3"/>
    <mergeCell ref="D2:D3"/>
    <mergeCell ref="E2:E3"/>
    <mergeCell ref="F2:F3"/>
    <mergeCell ref="H2:H3"/>
  </mergeCells>
  <printOptions horizontalCentered="1"/>
  <pageMargins left="0.25" right="0.24" top="0.9" bottom="0.5" header="0.3" footer="0.3"/>
  <pageSetup paperSize="5" scale="73" firstPageNumber="32" fitToWidth="0" fitToHeight="0" orientation="portrait" r:id="rId1"/>
  <headerFooter alignWithMargins="0">
    <oddHeader>&amp;L&amp;"Arial,Bold"&amp;18&amp;K000000Table 3A: FY2021-22 Budget Letter
Level 3 Legislative Allocations</oddHeader>
    <oddFooter>&amp;R&amp;P</oddFooter>
  </headerFooter>
  <colBreaks count="1" manualBreakCount="1">
    <brk id="7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P140"/>
  <sheetViews>
    <sheetView zoomScaleNormal="100" zoomScaleSheetLayoutView="100" workbookViewId="0">
      <pane xSplit="3" ySplit="6" topLeftCell="D7" activePane="bottomRight" state="frozen"/>
      <selection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140625" defaultRowHeight="12.75" x14ac:dyDescent="0.2"/>
  <cols>
    <col min="1" max="1" width="9" style="363" bestFit="1" customWidth="1"/>
    <col min="2" max="2" width="9" style="363" hidden="1" customWidth="1"/>
    <col min="3" max="3" width="36.28515625" style="364" customWidth="1"/>
    <col min="4" max="4" width="14.140625" style="212" customWidth="1"/>
    <col min="5" max="5" width="14.42578125" style="212" customWidth="1"/>
    <col min="6" max="7" width="12.7109375" style="364" customWidth="1"/>
    <col min="8" max="10" width="12.7109375" style="212" customWidth="1"/>
    <col min="11" max="11" width="12.5703125" style="212" customWidth="1"/>
    <col min="12" max="12" width="12.7109375" style="364" bestFit="1" customWidth="1"/>
    <col min="13" max="13" width="12.85546875" style="364" customWidth="1"/>
    <col min="14" max="14" width="12" style="364" customWidth="1"/>
    <col min="15" max="15" width="12.85546875" style="364" customWidth="1"/>
    <col min="16" max="16" width="12.42578125" style="364" bestFit="1" customWidth="1"/>
    <col min="17" max="25" width="12.85546875" style="364" customWidth="1"/>
    <col min="26" max="29" width="14.5703125" style="364" customWidth="1"/>
    <col min="30" max="37" width="12.85546875" style="364" customWidth="1"/>
    <col min="38" max="41" width="14.5703125" style="364" customWidth="1"/>
    <col min="42" max="42" width="18.5703125" style="212" customWidth="1"/>
    <col min="43" max="16384" width="9.140625" style="212"/>
  </cols>
  <sheetData>
    <row r="1" spans="1:42" ht="32.25" customHeight="1" x14ac:dyDescent="0.2">
      <c r="A1" s="978" t="s">
        <v>12</v>
      </c>
      <c r="B1" s="978"/>
      <c r="C1" s="978"/>
      <c r="D1" s="979" t="s">
        <v>455</v>
      </c>
      <c r="E1" s="979"/>
      <c r="F1" s="980" t="s">
        <v>456</v>
      </c>
      <c r="G1" s="980"/>
      <c r="H1" s="980"/>
      <c r="I1" s="980"/>
      <c r="J1" s="980"/>
      <c r="K1" s="981" t="s">
        <v>457</v>
      </c>
      <c r="L1" s="981"/>
      <c r="M1" s="982" t="s">
        <v>458</v>
      </c>
      <c r="N1" s="976" t="s">
        <v>459</v>
      </c>
      <c r="O1" s="976"/>
      <c r="P1" s="976"/>
      <c r="Q1" s="976"/>
      <c r="R1" s="986" t="s">
        <v>460</v>
      </c>
      <c r="S1" s="987"/>
      <c r="T1" s="987"/>
      <c r="U1" s="987"/>
      <c r="V1" s="987"/>
      <c r="W1" s="987"/>
      <c r="X1" s="987"/>
      <c r="Y1" s="988"/>
      <c r="Z1" s="989" t="s">
        <v>460</v>
      </c>
      <c r="AA1" s="990"/>
      <c r="AB1" s="990"/>
      <c r="AC1" s="991"/>
      <c r="AD1" s="992" t="s">
        <v>461</v>
      </c>
      <c r="AE1" s="993"/>
      <c r="AF1" s="993"/>
      <c r="AG1" s="993"/>
      <c r="AH1" s="993"/>
      <c r="AI1" s="993"/>
      <c r="AJ1" s="993"/>
      <c r="AK1" s="994"/>
      <c r="AL1" s="995" t="s">
        <v>461</v>
      </c>
      <c r="AM1" s="996"/>
      <c r="AN1" s="996"/>
      <c r="AO1" s="997"/>
      <c r="AP1" s="998" t="s">
        <v>462</v>
      </c>
    </row>
    <row r="2" spans="1:42" ht="103.5" customHeight="1" x14ac:dyDescent="0.2">
      <c r="A2" s="978"/>
      <c r="B2" s="978"/>
      <c r="C2" s="978"/>
      <c r="D2" s="983" t="s">
        <v>463</v>
      </c>
      <c r="E2" s="213" t="s">
        <v>464</v>
      </c>
      <c r="F2" s="984" t="s">
        <v>465</v>
      </c>
      <c r="G2" s="214" t="s">
        <v>466</v>
      </c>
      <c r="H2" s="984" t="s">
        <v>467</v>
      </c>
      <c r="I2" s="214" t="s">
        <v>468</v>
      </c>
      <c r="J2" s="984" t="s">
        <v>469</v>
      </c>
      <c r="K2" s="985" t="s">
        <v>470</v>
      </c>
      <c r="L2" s="215" t="s">
        <v>471</v>
      </c>
      <c r="M2" s="982"/>
      <c r="N2" s="977" t="s">
        <v>472</v>
      </c>
      <c r="O2" s="216" t="s">
        <v>473</v>
      </c>
      <c r="P2" s="977" t="s">
        <v>474</v>
      </c>
      <c r="Q2" s="977" t="s">
        <v>473</v>
      </c>
      <c r="R2" s="217" t="s">
        <v>475</v>
      </c>
      <c r="S2" s="218" t="s">
        <v>476</v>
      </c>
      <c r="T2" s="219" t="s">
        <v>477</v>
      </c>
      <c r="U2" s="1000" t="s">
        <v>478</v>
      </c>
      <c r="V2" s="218" t="s">
        <v>479</v>
      </c>
      <c r="W2" s="218" t="s">
        <v>476</v>
      </c>
      <c r="X2" s="219" t="s">
        <v>477</v>
      </c>
      <c r="Y2" s="1002" t="s">
        <v>478</v>
      </c>
      <c r="Z2" s="217" t="s">
        <v>480</v>
      </c>
      <c r="AA2" s="1004" t="s">
        <v>481</v>
      </c>
      <c r="AB2" s="1004" t="s">
        <v>482</v>
      </c>
      <c r="AC2" s="1004" t="s">
        <v>483</v>
      </c>
      <c r="AD2" s="220" t="s">
        <v>475</v>
      </c>
      <c r="AE2" s="221" t="s">
        <v>476</v>
      </c>
      <c r="AF2" s="221" t="s">
        <v>477</v>
      </c>
      <c r="AG2" s="999" t="s">
        <v>478</v>
      </c>
      <c r="AH2" s="222" t="s">
        <v>479</v>
      </c>
      <c r="AI2" s="221" t="s">
        <v>476</v>
      </c>
      <c r="AJ2" s="221" t="s">
        <v>477</v>
      </c>
      <c r="AK2" s="999" t="s">
        <v>478</v>
      </c>
      <c r="AL2" s="221" t="s">
        <v>480</v>
      </c>
      <c r="AM2" s="999" t="s">
        <v>481</v>
      </c>
      <c r="AN2" s="999" t="s">
        <v>482</v>
      </c>
      <c r="AO2" s="999" t="s">
        <v>483</v>
      </c>
      <c r="AP2" s="998"/>
    </row>
    <row r="3" spans="1:42" ht="17.25" customHeight="1" x14ac:dyDescent="0.2">
      <c r="A3" s="978"/>
      <c r="B3" s="978"/>
      <c r="C3" s="978"/>
      <c r="D3" s="983"/>
      <c r="E3" s="223">
        <v>21000</v>
      </c>
      <c r="F3" s="984"/>
      <c r="G3" s="224">
        <v>6000</v>
      </c>
      <c r="H3" s="984"/>
      <c r="I3" s="224">
        <v>4000</v>
      </c>
      <c r="J3" s="984"/>
      <c r="K3" s="985"/>
      <c r="L3" s="225">
        <f>ROUND(0.06*'3_Levels 1&amp;2'!$Q$1,0)</f>
        <v>241</v>
      </c>
      <c r="M3" s="226">
        <v>12000000</v>
      </c>
      <c r="N3" s="977"/>
      <c r="O3" s="227">
        <v>59</v>
      </c>
      <c r="P3" s="977"/>
      <c r="Q3" s="977"/>
      <c r="R3" s="228" t="s">
        <v>484</v>
      </c>
      <c r="S3" s="229">
        <v>1000</v>
      </c>
      <c r="T3" s="230">
        <v>0.252</v>
      </c>
      <c r="U3" s="1001"/>
      <c r="V3" s="228" t="s">
        <v>484</v>
      </c>
      <c r="W3" s="229">
        <v>500</v>
      </c>
      <c r="X3" s="230">
        <v>0.28699999999999998</v>
      </c>
      <c r="Y3" s="1003"/>
      <c r="Z3" s="228" t="s">
        <v>484</v>
      </c>
      <c r="AA3" s="1004"/>
      <c r="AB3" s="1004"/>
      <c r="AC3" s="1004"/>
      <c r="AD3" s="231" t="s">
        <v>484</v>
      </c>
      <c r="AE3" s="231">
        <v>800</v>
      </c>
      <c r="AF3" s="232">
        <v>0.252</v>
      </c>
      <c r="AG3" s="999"/>
      <c r="AH3" s="231" t="s">
        <v>484</v>
      </c>
      <c r="AI3" s="231">
        <v>400</v>
      </c>
      <c r="AJ3" s="232">
        <v>0.28699999999999998</v>
      </c>
      <c r="AK3" s="999"/>
      <c r="AL3" s="231" t="s">
        <v>484</v>
      </c>
      <c r="AM3" s="999"/>
      <c r="AN3" s="999"/>
      <c r="AO3" s="999"/>
      <c r="AP3" s="998"/>
    </row>
    <row r="4" spans="1:42" ht="13.35" customHeight="1" x14ac:dyDescent="0.2">
      <c r="A4" s="233"/>
      <c r="B4" s="234"/>
      <c r="C4" s="235"/>
      <c r="D4" s="236">
        <v>1</v>
      </c>
      <c r="E4" s="236">
        <f>D4+1</f>
        <v>2</v>
      </c>
      <c r="F4" s="236">
        <f t="shared" ref="F4:AP4" si="0">E4+1</f>
        <v>3</v>
      </c>
      <c r="G4" s="236">
        <f t="shared" si="0"/>
        <v>4</v>
      </c>
      <c r="H4" s="236">
        <f t="shared" si="0"/>
        <v>5</v>
      </c>
      <c r="I4" s="236">
        <f t="shared" si="0"/>
        <v>6</v>
      </c>
      <c r="J4" s="236">
        <f>I4+1</f>
        <v>7</v>
      </c>
      <c r="K4" s="236">
        <f t="shared" si="0"/>
        <v>8</v>
      </c>
      <c r="L4" s="236">
        <f t="shared" si="0"/>
        <v>9</v>
      </c>
      <c r="M4" s="236">
        <f t="shared" si="0"/>
        <v>10</v>
      </c>
      <c r="N4" s="236">
        <f t="shared" si="0"/>
        <v>11</v>
      </c>
      <c r="O4" s="236">
        <f t="shared" si="0"/>
        <v>12</v>
      </c>
      <c r="P4" s="236">
        <f t="shared" si="0"/>
        <v>13</v>
      </c>
      <c r="Q4" s="236">
        <f t="shared" si="0"/>
        <v>14</v>
      </c>
      <c r="R4" s="236">
        <f t="shared" si="0"/>
        <v>15</v>
      </c>
      <c r="S4" s="236">
        <f t="shared" si="0"/>
        <v>16</v>
      </c>
      <c r="T4" s="236">
        <f t="shared" si="0"/>
        <v>17</v>
      </c>
      <c r="U4" s="236">
        <f t="shared" si="0"/>
        <v>18</v>
      </c>
      <c r="V4" s="236">
        <f t="shared" si="0"/>
        <v>19</v>
      </c>
      <c r="W4" s="236">
        <f t="shared" si="0"/>
        <v>20</v>
      </c>
      <c r="X4" s="236">
        <f t="shared" si="0"/>
        <v>21</v>
      </c>
      <c r="Y4" s="236">
        <f t="shared" si="0"/>
        <v>22</v>
      </c>
      <c r="Z4" s="236">
        <f t="shared" si="0"/>
        <v>23</v>
      </c>
      <c r="AA4" s="236">
        <f t="shared" si="0"/>
        <v>24</v>
      </c>
      <c r="AB4" s="236">
        <f t="shared" si="0"/>
        <v>25</v>
      </c>
      <c r="AC4" s="236">
        <f t="shared" si="0"/>
        <v>26</v>
      </c>
      <c r="AD4" s="236">
        <f t="shared" si="0"/>
        <v>27</v>
      </c>
      <c r="AE4" s="236">
        <f t="shared" si="0"/>
        <v>28</v>
      </c>
      <c r="AF4" s="236">
        <f t="shared" si="0"/>
        <v>29</v>
      </c>
      <c r="AG4" s="236">
        <f t="shared" si="0"/>
        <v>30</v>
      </c>
      <c r="AH4" s="236">
        <f t="shared" si="0"/>
        <v>31</v>
      </c>
      <c r="AI4" s="236">
        <f t="shared" si="0"/>
        <v>32</v>
      </c>
      <c r="AJ4" s="236">
        <f t="shared" si="0"/>
        <v>33</v>
      </c>
      <c r="AK4" s="236">
        <f t="shared" si="0"/>
        <v>34</v>
      </c>
      <c r="AL4" s="236">
        <f t="shared" si="0"/>
        <v>35</v>
      </c>
      <c r="AM4" s="236">
        <f t="shared" si="0"/>
        <v>36</v>
      </c>
      <c r="AN4" s="236">
        <f t="shared" si="0"/>
        <v>37</v>
      </c>
      <c r="AO4" s="236">
        <f t="shared" si="0"/>
        <v>38</v>
      </c>
      <c r="AP4" s="236">
        <f t="shared" si="0"/>
        <v>39</v>
      </c>
    </row>
    <row r="5" spans="1:42" s="242" customFormat="1" ht="22.5" hidden="1" x14ac:dyDescent="0.2">
      <c r="A5" s="237"/>
      <c r="B5" s="238"/>
      <c r="C5" s="239"/>
      <c r="D5" s="240" t="s">
        <v>485</v>
      </c>
      <c r="E5" s="32" t="s">
        <v>486</v>
      </c>
      <c r="F5" s="240" t="s">
        <v>485</v>
      </c>
      <c r="G5" s="32" t="s">
        <v>487</v>
      </c>
      <c r="H5" s="240" t="s">
        <v>485</v>
      </c>
      <c r="I5" s="32" t="s">
        <v>488</v>
      </c>
      <c r="J5" s="240" t="s">
        <v>74</v>
      </c>
      <c r="K5" s="240" t="s">
        <v>485</v>
      </c>
      <c r="L5" s="32" t="s">
        <v>489</v>
      </c>
      <c r="M5" s="240" t="s">
        <v>485</v>
      </c>
      <c r="N5" s="240" t="s">
        <v>490</v>
      </c>
      <c r="O5" s="32" t="s">
        <v>491</v>
      </c>
      <c r="P5" s="240" t="s">
        <v>485</v>
      </c>
      <c r="Q5" s="240" t="s">
        <v>74</v>
      </c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 t="s">
        <v>74</v>
      </c>
    </row>
    <row r="6" spans="1:42" s="242" customFormat="1" ht="22.5" x14ac:dyDescent="0.2">
      <c r="A6" s="237"/>
      <c r="B6" s="238"/>
      <c r="C6" s="239"/>
      <c r="D6" s="240" t="s">
        <v>492</v>
      </c>
      <c r="E6" s="32" t="s">
        <v>493</v>
      </c>
      <c r="F6" s="240" t="s">
        <v>494</v>
      </c>
      <c r="G6" s="32" t="s">
        <v>495</v>
      </c>
      <c r="H6" s="240" t="s">
        <v>496</v>
      </c>
      <c r="I6" s="32" t="s">
        <v>497</v>
      </c>
      <c r="J6" s="240" t="s">
        <v>498</v>
      </c>
      <c r="K6" s="240" t="s">
        <v>499</v>
      </c>
      <c r="L6" s="32" t="s">
        <v>500</v>
      </c>
      <c r="M6" s="240" t="s">
        <v>501</v>
      </c>
      <c r="N6" s="240" t="s">
        <v>492</v>
      </c>
      <c r="O6" s="32" t="s">
        <v>502</v>
      </c>
      <c r="P6" s="240" t="s">
        <v>503</v>
      </c>
      <c r="Q6" s="240" t="s">
        <v>504</v>
      </c>
      <c r="R6" s="240" t="s">
        <v>505</v>
      </c>
      <c r="S6" s="240" t="s">
        <v>506</v>
      </c>
      <c r="T6" s="240" t="s">
        <v>507</v>
      </c>
      <c r="U6" s="240" t="s">
        <v>508</v>
      </c>
      <c r="V6" s="240" t="s">
        <v>509</v>
      </c>
      <c r="W6" s="240" t="s">
        <v>510</v>
      </c>
      <c r="X6" s="240" t="s">
        <v>511</v>
      </c>
      <c r="Y6" s="240" t="s">
        <v>512</v>
      </c>
      <c r="Z6" s="240" t="s">
        <v>513</v>
      </c>
      <c r="AA6" s="240" t="s">
        <v>514</v>
      </c>
      <c r="AB6" s="240" t="s">
        <v>515</v>
      </c>
      <c r="AC6" s="240" t="s">
        <v>516</v>
      </c>
      <c r="AD6" s="240" t="s">
        <v>505</v>
      </c>
      <c r="AE6" s="240" t="s">
        <v>517</v>
      </c>
      <c r="AF6" s="240" t="s">
        <v>518</v>
      </c>
      <c r="AG6" s="240" t="s">
        <v>519</v>
      </c>
      <c r="AH6" s="240" t="s">
        <v>509</v>
      </c>
      <c r="AI6" s="240" t="s">
        <v>520</v>
      </c>
      <c r="AJ6" s="240" t="s">
        <v>521</v>
      </c>
      <c r="AK6" s="240" t="s">
        <v>522</v>
      </c>
      <c r="AL6" s="240" t="s">
        <v>523</v>
      </c>
      <c r="AM6" s="240" t="s">
        <v>524</v>
      </c>
      <c r="AN6" s="240" t="s">
        <v>525</v>
      </c>
      <c r="AO6" s="240" t="s">
        <v>526</v>
      </c>
      <c r="AP6" s="240" t="s">
        <v>527</v>
      </c>
    </row>
    <row r="7" spans="1:42" ht="15" customHeight="1" x14ac:dyDescent="0.2">
      <c r="A7" s="243">
        <v>1</v>
      </c>
      <c r="B7" s="244">
        <v>1</v>
      </c>
      <c r="C7" s="245" t="s">
        <v>131</v>
      </c>
      <c r="D7" s="246">
        <f>VLOOKUP(A7,[2]Template!$A$3:$G$133,7,FALSE)</f>
        <v>0</v>
      </c>
      <c r="E7" s="247">
        <f t="shared" ref="E7:E70" si="1">ROUND($E$3*D7,0)</f>
        <v>0</v>
      </c>
      <c r="F7" s="246"/>
      <c r="G7" s="248">
        <f>ROUND($G$3*F7,0)</f>
        <v>0</v>
      </c>
      <c r="H7" s="246"/>
      <c r="I7" s="248">
        <f>ROUND($I$3*H7,0)</f>
        <v>0</v>
      </c>
      <c r="J7" s="249">
        <f t="shared" ref="J7:J70" si="2">G7+I7</f>
        <v>0</v>
      </c>
      <c r="K7" s="250"/>
      <c r="L7" s="251">
        <f>VLOOKUP($A7,'[3]21-22_4_Level 4'!$A$7:$F$139,6,FALSE)</f>
        <v>190330</v>
      </c>
      <c r="M7" s="252"/>
      <c r="N7" s="246">
        <f>VLOOKUP($A7,'[4]Feb MFP_SCA'!$B$4:$K$124,10,FALSE)</f>
        <v>3914</v>
      </c>
      <c r="O7" s="253">
        <f>N7*$O$3</f>
        <v>230926</v>
      </c>
      <c r="P7" s="248"/>
      <c r="Q7" s="253">
        <f>O7+P7</f>
        <v>230926</v>
      </c>
      <c r="R7" s="254">
        <f>VLOOKUP($A7,[5]MFP!$A$7:$E$139,4,FALSE)</f>
        <v>725.538917294974</v>
      </c>
      <c r="S7" s="255">
        <f t="shared" ref="S7:S70" si="3">ROUND(R7*$S$3,0)</f>
        <v>725539</v>
      </c>
      <c r="T7" s="255">
        <f t="shared" ref="T7:T70" si="4">ROUND(S7*$T$3,0)</f>
        <v>182836</v>
      </c>
      <c r="U7" s="255">
        <f>S7+T7</f>
        <v>908375</v>
      </c>
      <c r="V7" s="254">
        <f>VLOOKUP($A7,[5]MFP!$A$7:$E$139,5,FALSE)</f>
        <v>484.99999999999898</v>
      </c>
      <c r="W7" s="255">
        <f t="shared" ref="W7:W70" si="5">ROUND(V7*$W$3,0)</f>
        <v>242500</v>
      </c>
      <c r="X7" s="255">
        <f t="shared" ref="X7:X70" si="6">ROUND(W7*$X$3,0)</f>
        <v>69598</v>
      </c>
      <c r="Y7" s="255">
        <f>W7+X7</f>
        <v>312098</v>
      </c>
      <c r="Z7" s="254">
        <f t="shared" ref="Z7:AC70" si="7">R7+V7</f>
        <v>1210.5389172949731</v>
      </c>
      <c r="AA7" s="255">
        <f t="shared" si="7"/>
        <v>968039</v>
      </c>
      <c r="AB7" s="255">
        <f t="shared" si="7"/>
        <v>252434</v>
      </c>
      <c r="AC7" s="256">
        <f t="shared" si="7"/>
        <v>1220473</v>
      </c>
      <c r="AD7" s="254">
        <f>VLOOKUP($A7,[5]MFP!$A$7:$E$139,4,FALSE)</f>
        <v>725.538917294974</v>
      </c>
      <c r="AE7" s="255">
        <f>ROUND(AD7*$AE$3,0)</f>
        <v>580431</v>
      </c>
      <c r="AF7" s="255">
        <f>ROUND(AE7*$AF$3,0)</f>
        <v>146269</v>
      </c>
      <c r="AG7" s="255">
        <f>AE7+AF7</f>
        <v>726700</v>
      </c>
      <c r="AH7" s="254">
        <f>VLOOKUP($A7,[5]MFP!$A$7:$E$139,5,FALSE)</f>
        <v>484.99999999999898</v>
      </c>
      <c r="AI7" s="255">
        <f>ROUND(AH7*$AI$3,0)</f>
        <v>194000</v>
      </c>
      <c r="AJ7" s="255">
        <f>ROUND(AI7*$AJ$3,0)</f>
        <v>55678</v>
      </c>
      <c r="AK7" s="255">
        <f>AI7+AJ7</f>
        <v>249678</v>
      </c>
      <c r="AL7" s="254">
        <f t="shared" ref="AL7:AO22" si="8">AD7+AH7</f>
        <v>1210.5389172949731</v>
      </c>
      <c r="AM7" s="255">
        <f t="shared" si="8"/>
        <v>774431</v>
      </c>
      <c r="AN7" s="255">
        <f t="shared" si="8"/>
        <v>201947</v>
      </c>
      <c r="AO7" s="257">
        <f t="shared" si="8"/>
        <v>976378</v>
      </c>
      <c r="AP7" s="258">
        <f t="shared" ref="AP7:AP70" si="9">E7+J7+L7+M7+Q7+AC7+AO7</f>
        <v>2618107</v>
      </c>
    </row>
    <row r="8" spans="1:42" ht="15" customHeight="1" x14ac:dyDescent="0.2">
      <c r="A8" s="259">
        <v>2</v>
      </c>
      <c r="B8" s="260">
        <v>2</v>
      </c>
      <c r="C8" s="261" t="s">
        <v>132</v>
      </c>
      <c r="D8" s="262">
        <f>VLOOKUP(A8,[2]Template!$A$3:$G$133,7,FALSE)</f>
        <v>0</v>
      </c>
      <c r="E8" s="263">
        <f t="shared" si="1"/>
        <v>0</v>
      </c>
      <c r="F8" s="262"/>
      <c r="G8" s="264">
        <f t="shared" ref="G8:G71" si="10">ROUND($G$3*F8,0)</f>
        <v>0</v>
      </c>
      <c r="H8" s="262"/>
      <c r="I8" s="264">
        <f t="shared" ref="I8:I71" si="11">ROUND($I$3*H8,0)</f>
        <v>0</v>
      </c>
      <c r="J8" s="265">
        <f t="shared" si="2"/>
        <v>0</v>
      </c>
      <c r="K8" s="266"/>
      <c r="L8" s="267">
        <f>VLOOKUP($A8,'[3]21-22_4_Level 4'!$A$7:$F$139,6,FALSE)</f>
        <v>63624</v>
      </c>
      <c r="M8" s="268"/>
      <c r="N8" s="262">
        <f>VLOOKUP($A8,'[4]Feb MFP_SCA'!$B$4:$K$124,10,FALSE)</f>
        <v>1791</v>
      </c>
      <c r="O8" s="269">
        <f t="shared" ref="O8:O71" si="12">N8*$O$3</f>
        <v>105669</v>
      </c>
      <c r="P8" s="264"/>
      <c r="Q8" s="269">
        <f t="shared" ref="Q8:Q71" si="13">O8+P8</f>
        <v>105669</v>
      </c>
      <c r="R8" s="270">
        <f>VLOOKUP($A8,[5]MFP!$A$7:$E$139,4,FALSE)</f>
        <v>381</v>
      </c>
      <c r="S8" s="271">
        <f t="shared" si="3"/>
        <v>381000</v>
      </c>
      <c r="T8" s="271">
        <f t="shared" si="4"/>
        <v>96012</v>
      </c>
      <c r="U8" s="271">
        <f t="shared" ref="U8:U71" si="14">S8+T8</f>
        <v>477012</v>
      </c>
      <c r="V8" s="270">
        <f>VLOOKUP($A8,[5]MFP!$A$7:$E$139,5,FALSE)</f>
        <v>234.99999999999901</v>
      </c>
      <c r="W8" s="271">
        <f t="shared" si="5"/>
        <v>117500</v>
      </c>
      <c r="X8" s="271">
        <f t="shared" si="6"/>
        <v>33723</v>
      </c>
      <c r="Y8" s="271">
        <f t="shared" ref="Y8:Y71" si="15">W8+X8</f>
        <v>151223</v>
      </c>
      <c r="Z8" s="270">
        <f t="shared" si="7"/>
        <v>615.99999999999898</v>
      </c>
      <c r="AA8" s="271">
        <f t="shared" si="7"/>
        <v>498500</v>
      </c>
      <c r="AB8" s="271">
        <f t="shared" si="7"/>
        <v>129735</v>
      </c>
      <c r="AC8" s="272">
        <f t="shared" si="7"/>
        <v>628235</v>
      </c>
      <c r="AD8" s="270">
        <f>VLOOKUP($A8,[5]MFP!$A$7:$E$139,4,FALSE)</f>
        <v>381</v>
      </c>
      <c r="AE8" s="271">
        <f t="shared" ref="AE8:AE71" si="16">ROUND(AD8*$AE$3,0)</f>
        <v>304800</v>
      </c>
      <c r="AF8" s="271">
        <f t="shared" ref="AF8:AF71" si="17">ROUND(AE8*$AF$3,0)</f>
        <v>76810</v>
      </c>
      <c r="AG8" s="271">
        <f t="shared" ref="AG8:AG71" si="18">AE8+AF8</f>
        <v>381610</v>
      </c>
      <c r="AH8" s="270">
        <f>VLOOKUP($A8,[5]MFP!$A$7:$E$139,5,FALSE)</f>
        <v>234.99999999999901</v>
      </c>
      <c r="AI8" s="271">
        <f t="shared" ref="AI8:AI71" si="19">ROUND(AH8*$AI$3,0)</f>
        <v>94000</v>
      </c>
      <c r="AJ8" s="271">
        <f t="shared" ref="AJ8:AJ71" si="20">ROUND(AI8*$AJ$3,0)</f>
        <v>26978</v>
      </c>
      <c r="AK8" s="271">
        <f t="shared" ref="AK8:AK71" si="21">AI8+AJ8</f>
        <v>120978</v>
      </c>
      <c r="AL8" s="270">
        <f t="shared" si="8"/>
        <v>615.99999999999898</v>
      </c>
      <c r="AM8" s="271">
        <f t="shared" si="8"/>
        <v>398800</v>
      </c>
      <c r="AN8" s="271">
        <f t="shared" si="8"/>
        <v>103788</v>
      </c>
      <c r="AO8" s="273">
        <f t="shared" si="8"/>
        <v>502588</v>
      </c>
      <c r="AP8" s="274">
        <f t="shared" si="9"/>
        <v>1300116</v>
      </c>
    </row>
    <row r="9" spans="1:42" ht="15" customHeight="1" x14ac:dyDescent="0.2">
      <c r="A9" s="275">
        <v>3</v>
      </c>
      <c r="B9" s="260">
        <v>3</v>
      </c>
      <c r="C9" s="261" t="s">
        <v>133</v>
      </c>
      <c r="D9" s="262">
        <f>VLOOKUP(A9,[2]Template!$A$3:$G$133,7,FALSE)</f>
        <v>0</v>
      </c>
      <c r="E9" s="263">
        <f t="shared" si="1"/>
        <v>0</v>
      </c>
      <c r="F9" s="262"/>
      <c r="G9" s="264">
        <f t="shared" si="10"/>
        <v>0</v>
      </c>
      <c r="H9" s="262"/>
      <c r="I9" s="264">
        <f t="shared" si="11"/>
        <v>0</v>
      </c>
      <c r="J9" s="265">
        <f t="shared" si="2"/>
        <v>0</v>
      </c>
      <c r="K9" s="266"/>
      <c r="L9" s="267">
        <f>VLOOKUP($A9,'[3]21-22_4_Level 4'!$A$7:$F$139,6,FALSE)</f>
        <v>799096</v>
      </c>
      <c r="M9" s="268"/>
      <c r="N9" s="262">
        <f>VLOOKUP($A9,'[4]Feb MFP_SCA'!$B$4:$K$124,10,FALSE)</f>
        <v>10544</v>
      </c>
      <c r="O9" s="269">
        <f t="shared" si="12"/>
        <v>622096</v>
      </c>
      <c r="P9" s="264"/>
      <c r="Q9" s="269">
        <f t="shared" si="13"/>
        <v>622096</v>
      </c>
      <c r="R9" s="270">
        <f>VLOOKUP($A9,[5]MFP!$A$7:$E$139,4,FALSE)</f>
        <v>1849.1331501809643</v>
      </c>
      <c r="S9" s="271">
        <f t="shared" si="3"/>
        <v>1849133</v>
      </c>
      <c r="T9" s="271">
        <f t="shared" si="4"/>
        <v>465982</v>
      </c>
      <c r="U9" s="271">
        <f t="shared" si="14"/>
        <v>2315115</v>
      </c>
      <c r="V9" s="270">
        <f>VLOOKUP($A9,[5]MFP!$A$7:$E$139,5,FALSE)</f>
        <v>1201</v>
      </c>
      <c r="W9" s="271">
        <f t="shared" si="5"/>
        <v>600500</v>
      </c>
      <c r="X9" s="271">
        <f t="shared" si="6"/>
        <v>172344</v>
      </c>
      <c r="Y9" s="271">
        <f t="shared" si="15"/>
        <v>772844</v>
      </c>
      <c r="Z9" s="270">
        <f t="shared" si="7"/>
        <v>3050.1331501809645</v>
      </c>
      <c r="AA9" s="271">
        <f t="shared" si="7"/>
        <v>2449633</v>
      </c>
      <c r="AB9" s="271">
        <f t="shared" si="7"/>
        <v>638326</v>
      </c>
      <c r="AC9" s="272">
        <f t="shared" si="7"/>
        <v>3087959</v>
      </c>
      <c r="AD9" s="270">
        <f>VLOOKUP($A9,[5]MFP!$A$7:$E$139,4,FALSE)</f>
        <v>1849.1331501809643</v>
      </c>
      <c r="AE9" s="271">
        <f t="shared" si="16"/>
        <v>1479307</v>
      </c>
      <c r="AF9" s="271">
        <f t="shared" si="17"/>
        <v>372785</v>
      </c>
      <c r="AG9" s="271">
        <f t="shared" si="18"/>
        <v>1852092</v>
      </c>
      <c r="AH9" s="270">
        <f>VLOOKUP($A9,[5]MFP!$A$7:$E$139,5,FALSE)</f>
        <v>1201</v>
      </c>
      <c r="AI9" s="271">
        <f t="shared" si="19"/>
        <v>480400</v>
      </c>
      <c r="AJ9" s="271">
        <f t="shared" si="20"/>
        <v>137875</v>
      </c>
      <c r="AK9" s="271">
        <f t="shared" si="21"/>
        <v>618275</v>
      </c>
      <c r="AL9" s="270">
        <f t="shared" si="8"/>
        <v>3050.1331501809645</v>
      </c>
      <c r="AM9" s="271">
        <f t="shared" si="8"/>
        <v>1959707</v>
      </c>
      <c r="AN9" s="271">
        <f t="shared" si="8"/>
        <v>510660</v>
      </c>
      <c r="AO9" s="273">
        <f t="shared" si="8"/>
        <v>2470367</v>
      </c>
      <c r="AP9" s="274">
        <f t="shared" si="9"/>
        <v>6979518</v>
      </c>
    </row>
    <row r="10" spans="1:42" ht="15" customHeight="1" x14ac:dyDescent="0.2">
      <c r="A10" s="275">
        <v>4</v>
      </c>
      <c r="B10" s="260">
        <v>4</v>
      </c>
      <c r="C10" s="261" t="s">
        <v>134</v>
      </c>
      <c r="D10" s="262">
        <f>VLOOKUP(A10,[2]Template!$A$3:$G$133,7,FALSE)</f>
        <v>1</v>
      </c>
      <c r="E10" s="263">
        <f t="shared" si="1"/>
        <v>21000</v>
      </c>
      <c r="F10" s="262"/>
      <c r="G10" s="264">
        <f t="shared" si="10"/>
        <v>0</v>
      </c>
      <c r="H10" s="262"/>
      <c r="I10" s="264">
        <f t="shared" si="11"/>
        <v>0</v>
      </c>
      <c r="J10" s="265">
        <f t="shared" si="2"/>
        <v>0</v>
      </c>
      <c r="K10" s="266"/>
      <c r="L10" s="267">
        <f>VLOOKUP($A10,'[3]21-22_4_Level 4'!$A$7:$F$139,6,FALSE)</f>
        <v>41211</v>
      </c>
      <c r="M10" s="268"/>
      <c r="N10" s="262">
        <f>VLOOKUP($A10,'[4]Feb MFP_SCA'!$B$4:$K$124,10,FALSE)</f>
        <v>1378</v>
      </c>
      <c r="O10" s="269">
        <f t="shared" si="12"/>
        <v>81302</v>
      </c>
      <c r="P10" s="264"/>
      <c r="Q10" s="269">
        <f t="shared" si="13"/>
        <v>81302</v>
      </c>
      <c r="R10" s="270">
        <f>VLOOKUP($A10,[5]MFP!$A$7:$E$139,4,FALSE)</f>
        <v>256.719882258979</v>
      </c>
      <c r="S10" s="271">
        <f t="shared" si="3"/>
        <v>256720</v>
      </c>
      <c r="T10" s="271">
        <f t="shared" si="4"/>
        <v>64693</v>
      </c>
      <c r="U10" s="271">
        <f t="shared" si="14"/>
        <v>321413</v>
      </c>
      <c r="V10" s="270">
        <f>VLOOKUP($A10,[5]MFP!$A$7:$E$139,5,FALSE)</f>
        <v>186.77999999999997</v>
      </c>
      <c r="W10" s="271">
        <f t="shared" si="5"/>
        <v>93390</v>
      </c>
      <c r="X10" s="271">
        <f t="shared" si="6"/>
        <v>26803</v>
      </c>
      <c r="Y10" s="271">
        <f t="shared" si="15"/>
        <v>120193</v>
      </c>
      <c r="Z10" s="270">
        <f t="shared" si="7"/>
        <v>443.49988225897897</v>
      </c>
      <c r="AA10" s="271">
        <f t="shared" si="7"/>
        <v>350110</v>
      </c>
      <c r="AB10" s="271">
        <f t="shared" si="7"/>
        <v>91496</v>
      </c>
      <c r="AC10" s="272">
        <f t="shared" si="7"/>
        <v>441606</v>
      </c>
      <c r="AD10" s="270">
        <f>VLOOKUP($A10,[5]MFP!$A$7:$E$139,4,FALSE)</f>
        <v>256.719882258979</v>
      </c>
      <c r="AE10" s="271">
        <f t="shared" si="16"/>
        <v>205376</v>
      </c>
      <c r="AF10" s="271">
        <f t="shared" si="17"/>
        <v>51755</v>
      </c>
      <c r="AG10" s="271">
        <f t="shared" si="18"/>
        <v>257131</v>
      </c>
      <c r="AH10" s="270">
        <f>VLOOKUP($A10,[5]MFP!$A$7:$E$139,5,FALSE)</f>
        <v>186.77999999999997</v>
      </c>
      <c r="AI10" s="271">
        <f t="shared" si="19"/>
        <v>74712</v>
      </c>
      <c r="AJ10" s="271">
        <f t="shared" si="20"/>
        <v>21442</v>
      </c>
      <c r="AK10" s="271">
        <f t="shared" si="21"/>
        <v>96154</v>
      </c>
      <c r="AL10" s="270">
        <f t="shared" si="8"/>
        <v>443.49988225897897</v>
      </c>
      <c r="AM10" s="271">
        <f t="shared" si="8"/>
        <v>280088</v>
      </c>
      <c r="AN10" s="271">
        <f t="shared" si="8"/>
        <v>73197</v>
      </c>
      <c r="AO10" s="273">
        <f t="shared" si="8"/>
        <v>353285</v>
      </c>
      <c r="AP10" s="274">
        <f t="shared" si="9"/>
        <v>938404</v>
      </c>
    </row>
    <row r="11" spans="1:42" ht="15" customHeight="1" x14ac:dyDescent="0.2">
      <c r="A11" s="276">
        <v>5</v>
      </c>
      <c r="B11" s="277">
        <v>5</v>
      </c>
      <c r="C11" s="278" t="s">
        <v>135</v>
      </c>
      <c r="D11" s="279">
        <f>VLOOKUP(A11,[2]Template!$A$3:$G$133,7,FALSE)</f>
        <v>0</v>
      </c>
      <c r="E11" s="280">
        <f t="shared" si="1"/>
        <v>0</v>
      </c>
      <c r="F11" s="279"/>
      <c r="G11" s="281">
        <f t="shared" si="10"/>
        <v>0</v>
      </c>
      <c r="H11" s="279"/>
      <c r="I11" s="281">
        <f t="shared" si="11"/>
        <v>0</v>
      </c>
      <c r="J11" s="282">
        <f t="shared" si="2"/>
        <v>0</v>
      </c>
      <c r="K11" s="283"/>
      <c r="L11" s="284">
        <f>VLOOKUP($A11,'[3]21-22_4_Level 4'!$A$7:$F$139,6,FALSE)</f>
        <v>152372</v>
      </c>
      <c r="M11" s="285"/>
      <c r="N11" s="279">
        <f>VLOOKUP($A11,'[4]Feb MFP_SCA'!$B$4:$K$124,10,FALSE)</f>
        <v>2222</v>
      </c>
      <c r="O11" s="286">
        <f t="shared" si="12"/>
        <v>131098</v>
      </c>
      <c r="P11" s="281"/>
      <c r="Q11" s="286">
        <f t="shared" si="13"/>
        <v>131098</v>
      </c>
      <c r="R11" s="287">
        <f>VLOOKUP($A11,[5]MFP!$A$7:$E$139,4,FALSE)</f>
        <v>340.82214421200001</v>
      </c>
      <c r="S11" s="288">
        <f t="shared" si="3"/>
        <v>340822</v>
      </c>
      <c r="T11" s="288">
        <f t="shared" si="4"/>
        <v>85887</v>
      </c>
      <c r="U11" s="288">
        <f t="shared" si="14"/>
        <v>426709</v>
      </c>
      <c r="V11" s="287">
        <f>VLOOKUP($A11,[5]MFP!$A$7:$E$139,5,FALSE)</f>
        <v>266</v>
      </c>
      <c r="W11" s="288">
        <f t="shared" si="5"/>
        <v>133000</v>
      </c>
      <c r="X11" s="288">
        <f t="shared" si="6"/>
        <v>38171</v>
      </c>
      <c r="Y11" s="288">
        <f t="shared" si="15"/>
        <v>171171</v>
      </c>
      <c r="Z11" s="287">
        <f t="shared" si="7"/>
        <v>606.82214421200001</v>
      </c>
      <c r="AA11" s="288">
        <f t="shared" si="7"/>
        <v>473822</v>
      </c>
      <c r="AB11" s="288">
        <f t="shared" si="7"/>
        <v>124058</v>
      </c>
      <c r="AC11" s="289">
        <f t="shared" si="7"/>
        <v>597880</v>
      </c>
      <c r="AD11" s="287">
        <f>VLOOKUP($A11,[5]MFP!$A$7:$E$139,4,FALSE)</f>
        <v>340.82214421200001</v>
      </c>
      <c r="AE11" s="288">
        <f t="shared" si="16"/>
        <v>272658</v>
      </c>
      <c r="AF11" s="288">
        <f t="shared" si="17"/>
        <v>68710</v>
      </c>
      <c r="AG11" s="288">
        <f t="shared" si="18"/>
        <v>341368</v>
      </c>
      <c r="AH11" s="287">
        <f>VLOOKUP($A11,[5]MFP!$A$7:$E$139,5,FALSE)</f>
        <v>266</v>
      </c>
      <c r="AI11" s="288">
        <f t="shared" si="19"/>
        <v>106400</v>
      </c>
      <c r="AJ11" s="288">
        <f t="shared" si="20"/>
        <v>30537</v>
      </c>
      <c r="AK11" s="288">
        <f t="shared" si="21"/>
        <v>136937</v>
      </c>
      <c r="AL11" s="287">
        <f t="shared" si="8"/>
        <v>606.82214421200001</v>
      </c>
      <c r="AM11" s="288">
        <f t="shared" si="8"/>
        <v>379058</v>
      </c>
      <c r="AN11" s="288">
        <f t="shared" si="8"/>
        <v>99247</v>
      </c>
      <c r="AO11" s="290">
        <f t="shared" si="8"/>
        <v>478305</v>
      </c>
      <c r="AP11" s="291">
        <f t="shared" si="9"/>
        <v>1359655</v>
      </c>
    </row>
    <row r="12" spans="1:42" ht="15" customHeight="1" x14ac:dyDescent="0.2">
      <c r="A12" s="243">
        <v>6</v>
      </c>
      <c r="B12" s="244">
        <v>6</v>
      </c>
      <c r="C12" s="245" t="s">
        <v>136</v>
      </c>
      <c r="D12" s="246">
        <f>VLOOKUP(A12,[2]Template!$A$3:$G$133,7,FALSE)</f>
        <v>0</v>
      </c>
      <c r="E12" s="247">
        <f t="shared" si="1"/>
        <v>0</v>
      </c>
      <c r="F12" s="246"/>
      <c r="G12" s="248">
        <f t="shared" si="10"/>
        <v>0</v>
      </c>
      <c r="H12" s="246"/>
      <c r="I12" s="248">
        <f t="shared" si="11"/>
        <v>0</v>
      </c>
      <c r="J12" s="249">
        <f t="shared" si="2"/>
        <v>0</v>
      </c>
      <c r="K12" s="250"/>
      <c r="L12" s="251">
        <f>VLOOKUP($A12,'[3]21-22_4_Level 4'!$A$7:$F$139,6,FALSE)</f>
        <v>73385</v>
      </c>
      <c r="M12" s="252"/>
      <c r="N12" s="246">
        <f>VLOOKUP($A12,'[4]Feb MFP_SCA'!$B$4:$K$124,10,FALSE)</f>
        <v>2511</v>
      </c>
      <c r="O12" s="253">
        <f t="shared" si="12"/>
        <v>148149</v>
      </c>
      <c r="P12" s="248"/>
      <c r="Q12" s="253">
        <f t="shared" si="13"/>
        <v>148149</v>
      </c>
      <c r="R12" s="254">
        <f>VLOOKUP($A12,[5]MFP!$A$7:$E$139,4,FALSE)</f>
        <v>477.50904676438199</v>
      </c>
      <c r="S12" s="255">
        <f t="shared" si="3"/>
        <v>477509</v>
      </c>
      <c r="T12" s="255">
        <f t="shared" si="4"/>
        <v>120332</v>
      </c>
      <c r="U12" s="255">
        <f t="shared" si="14"/>
        <v>597841</v>
      </c>
      <c r="V12" s="254">
        <f>VLOOKUP($A12,[5]MFP!$A$7:$E$139,5,FALSE)</f>
        <v>305.67860947128599</v>
      </c>
      <c r="W12" s="255">
        <f t="shared" si="5"/>
        <v>152839</v>
      </c>
      <c r="X12" s="255">
        <f t="shared" si="6"/>
        <v>43865</v>
      </c>
      <c r="Y12" s="255">
        <f t="shared" si="15"/>
        <v>196704</v>
      </c>
      <c r="Z12" s="254">
        <f t="shared" si="7"/>
        <v>783.18765623566799</v>
      </c>
      <c r="AA12" s="255">
        <f t="shared" si="7"/>
        <v>630348</v>
      </c>
      <c r="AB12" s="255">
        <f t="shared" si="7"/>
        <v>164197</v>
      </c>
      <c r="AC12" s="256">
        <f t="shared" si="7"/>
        <v>794545</v>
      </c>
      <c r="AD12" s="254">
        <f>VLOOKUP($A12,[5]MFP!$A$7:$E$139,4,FALSE)</f>
        <v>477.50904676438199</v>
      </c>
      <c r="AE12" s="255">
        <f t="shared" si="16"/>
        <v>382007</v>
      </c>
      <c r="AF12" s="255">
        <f t="shared" si="17"/>
        <v>96266</v>
      </c>
      <c r="AG12" s="255">
        <f t="shared" si="18"/>
        <v>478273</v>
      </c>
      <c r="AH12" s="254">
        <f>VLOOKUP($A12,[5]MFP!$A$7:$E$139,5,FALSE)</f>
        <v>305.67860947128599</v>
      </c>
      <c r="AI12" s="255">
        <f t="shared" si="19"/>
        <v>122271</v>
      </c>
      <c r="AJ12" s="255">
        <f t="shared" si="20"/>
        <v>35092</v>
      </c>
      <c r="AK12" s="255">
        <f t="shared" si="21"/>
        <v>157363</v>
      </c>
      <c r="AL12" s="254">
        <f t="shared" si="8"/>
        <v>783.18765623566799</v>
      </c>
      <c r="AM12" s="255">
        <f t="shared" si="8"/>
        <v>504278</v>
      </c>
      <c r="AN12" s="255">
        <f t="shared" si="8"/>
        <v>131358</v>
      </c>
      <c r="AO12" s="257">
        <f t="shared" si="8"/>
        <v>635636</v>
      </c>
      <c r="AP12" s="258">
        <f t="shared" si="9"/>
        <v>1651715</v>
      </c>
    </row>
    <row r="13" spans="1:42" ht="15" customHeight="1" x14ac:dyDescent="0.2">
      <c r="A13" s="275">
        <v>7</v>
      </c>
      <c r="B13" s="260">
        <v>7</v>
      </c>
      <c r="C13" s="261" t="s">
        <v>137</v>
      </c>
      <c r="D13" s="262">
        <f>VLOOKUP(A13,[2]Template!$A$3:$G$133,7,FALSE)</f>
        <v>0</v>
      </c>
      <c r="E13" s="263">
        <f t="shared" si="1"/>
        <v>0</v>
      </c>
      <c r="F13" s="262"/>
      <c r="G13" s="264">
        <f t="shared" si="10"/>
        <v>0</v>
      </c>
      <c r="H13" s="262"/>
      <c r="I13" s="264">
        <f t="shared" si="11"/>
        <v>0</v>
      </c>
      <c r="J13" s="265">
        <f t="shared" si="2"/>
        <v>0</v>
      </c>
      <c r="K13" s="266"/>
      <c r="L13" s="267">
        <f>VLOOKUP($A13,'[3]21-22_4_Level 4'!$A$7:$F$139,6,FALSE)</f>
        <v>33077</v>
      </c>
      <c r="M13" s="268"/>
      <c r="N13" s="262">
        <f>VLOOKUP($A13,'[4]Feb MFP_SCA'!$B$4:$K$124,10,FALSE)</f>
        <v>910</v>
      </c>
      <c r="O13" s="269">
        <f t="shared" si="12"/>
        <v>53690</v>
      </c>
      <c r="P13" s="264"/>
      <c r="Q13" s="269">
        <f t="shared" si="13"/>
        <v>53690</v>
      </c>
      <c r="R13" s="270">
        <f>VLOOKUP($A13,[5]MFP!$A$7:$E$139,4,FALSE)</f>
        <v>227.01649995055101</v>
      </c>
      <c r="S13" s="271">
        <f t="shared" si="3"/>
        <v>227016</v>
      </c>
      <c r="T13" s="271">
        <f t="shared" si="4"/>
        <v>57208</v>
      </c>
      <c r="U13" s="271">
        <f t="shared" si="14"/>
        <v>284224</v>
      </c>
      <c r="V13" s="270">
        <f>VLOOKUP($A13,[5]MFP!$A$7:$E$139,5,FALSE)</f>
        <v>171.73223742239898</v>
      </c>
      <c r="W13" s="271">
        <f t="shared" si="5"/>
        <v>85866</v>
      </c>
      <c r="X13" s="271">
        <f t="shared" si="6"/>
        <v>24644</v>
      </c>
      <c r="Y13" s="271">
        <f t="shared" si="15"/>
        <v>110510</v>
      </c>
      <c r="Z13" s="270">
        <f t="shared" si="7"/>
        <v>398.74873737295002</v>
      </c>
      <c r="AA13" s="271">
        <f t="shared" si="7"/>
        <v>312882</v>
      </c>
      <c r="AB13" s="271">
        <f t="shared" si="7"/>
        <v>81852</v>
      </c>
      <c r="AC13" s="272">
        <f t="shared" si="7"/>
        <v>394734</v>
      </c>
      <c r="AD13" s="270">
        <f>VLOOKUP($A13,[5]MFP!$A$7:$E$139,4,FALSE)</f>
        <v>227.01649995055101</v>
      </c>
      <c r="AE13" s="271">
        <f t="shared" si="16"/>
        <v>181613</v>
      </c>
      <c r="AF13" s="271">
        <f t="shared" si="17"/>
        <v>45766</v>
      </c>
      <c r="AG13" s="271">
        <f t="shared" si="18"/>
        <v>227379</v>
      </c>
      <c r="AH13" s="270">
        <f>VLOOKUP($A13,[5]MFP!$A$7:$E$139,5,FALSE)</f>
        <v>171.73223742239898</v>
      </c>
      <c r="AI13" s="271">
        <f t="shared" si="19"/>
        <v>68693</v>
      </c>
      <c r="AJ13" s="271">
        <f t="shared" si="20"/>
        <v>19715</v>
      </c>
      <c r="AK13" s="271">
        <f t="shared" si="21"/>
        <v>88408</v>
      </c>
      <c r="AL13" s="270">
        <f t="shared" si="8"/>
        <v>398.74873737295002</v>
      </c>
      <c r="AM13" s="271">
        <f t="shared" si="8"/>
        <v>250306</v>
      </c>
      <c r="AN13" s="271">
        <f t="shared" si="8"/>
        <v>65481</v>
      </c>
      <c r="AO13" s="273">
        <f t="shared" si="8"/>
        <v>315787</v>
      </c>
      <c r="AP13" s="274">
        <f t="shared" si="9"/>
        <v>797288</v>
      </c>
    </row>
    <row r="14" spans="1:42" ht="15" customHeight="1" x14ac:dyDescent="0.2">
      <c r="A14" s="275">
        <v>8</v>
      </c>
      <c r="B14" s="260">
        <v>8</v>
      </c>
      <c r="C14" s="261" t="s">
        <v>138</v>
      </c>
      <c r="D14" s="262">
        <f>VLOOKUP(A14,[2]Template!$A$3:$G$133,7,FALSE)</f>
        <v>5</v>
      </c>
      <c r="E14" s="263">
        <f t="shared" si="1"/>
        <v>105000</v>
      </c>
      <c r="F14" s="262"/>
      <c r="G14" s="264">
        <f t="shared" si="10"/>
        <v>0</v>
      </c>
      <c r="H14" s="262"/>
      <c r="I14" s="264">
        <f t="shared" si="11"/>
        <v>0</v>
      </c>
      <c r="J14" s="265">
        <f t="shared" si="2"/>
        <v>0</v>
      </c>
      <c r="K14" s="266"/>
      <c r="L14" s="267">
        <f>VLOOKUP($A14,'[3]21-22_4_Level 4'!$A$7:$F$139,6,FALSE)</f>
        <v>222865</v>
      </c>
      <c r="M14" s="268"/>
      <c r="N14" s="262">
        <f>VLOOKUP($A14,'[4]Feb MFP_SCA'!$B$4:$K$124,10,FALSE)</f>
        <v>9784</v>
      </c>
      <c r="O14" s="269">
        <f t="shared" si="12"/>
        <v>577256</v>
      </c>
      <c r="P14" s="264"/>
      <c r="Q14" s="269">
        <f t="shared" si="13"/>
        <v>577256</v>
      </c>
      <c r="R14" s="270">
        <f>VLOOKUP($A14,[5]MFP!$A$7:$E$139,4,FALSE)</f>
        <v>1935</v>
      </c>
      <c r="S14" s="271">
        <f t="shared" si="3"/>
        <v>1935000</v>
      </c>
      <c r="T14" s="271">
        <f t="shared" si="4"/>
        <v>487620</v>
      </c>
      <c r="U14" s="271">
        <f t="shared" si="14"/>
        <v>2422620</v>
      </c>
      <c r="V14" s="270">
        <f>VLOOKUP($A14,[5]MFP!$A$7:$E$139,5,FALSE)</f>
        <v>1226</v>
      </c>
      <c r="W14" s="271">
        <f t="shared" si="5"/>
        <v>613000</v>
      </c>
      <c r="X14" s="271">
        <f t="shared" si="6"/>
        <v>175931</v>
      </c>
      <c r="Y14" s="271">
        <f t="shared" si="15"/>
        <v>788931</v>
      </c>
      <c r="Z14" s="270">
        <f t="shared" si="7"/>
        <v>3161</v>
      </c>
      <c r="AA14" s="271">
        <f t="shared" si="7"/>
        <v>2548000</v>
      </c>
      <c r="AB14" s="271">
        <f t="shared" si="7"/>
        <v>663551</v>
      </c>
      <c r="AC14" s="272">
        <f t="shared" si="7"/>
        <v>3211551</v>
      </c>
      <c r="AD14" s="270">
        <f>VLOOKUP($A14,[5]MFP!$A$7:$E$139,4,FALSE)</f>
        <v>1935</v>
      </c>
      <c r="AE14" s="271">
        <f t="shared" si="16"/>
        <v>1548000</v>
      </c>
      <c r="AF14" s="271">
        <f t="shared" si="17"/>
        <v>390096</v>
      </c>
      <c r="AG14" s="271">
        <f t="shared" si="18"/>
        <v>1938096</v>
      </c>
      <c r="AH14" s="270">
        <f>VLOOKUP($A14,[5]MFP!$A$7:$E$139,5,FALSE)</f>
        <v>1226</v>
      </c>
      <c r="AI14" s="271">
        <f t="shared" si="19"/>
        <v>490400</v>
      </c>
      <c r="AJ14" s="271">
        <f t="shared" si="20"/>
        <v>140745</v>
      </c>
      <c r="AK14" s="271">
        <f t="shared" si="21"/>
        <v>631145</v>
      </c>
      <c r="AL14" s="270">
        <f t="shared" si="8"/>
        <v>3161</v>
      </c>
      <c r="AM14" s="271">
        <f t="shared" si="8"/>
        <v>2038400</v>
      </c>
      <c r="AN14" s="271">
        <f t="shared" si="8"/>
        <v>530841</v>
      </c>
      <c r="AO14" s="273">
        <f t="shared" si="8"/>
        <v>2569241</v>
      </c>
      <c r="AP14" s="274">
        <f t="shared" si="9"/>
        <v>6685913</v>
      </c>
    </row>
    <row r="15" spans="1:42" ht="15" customHeight="1" x14ac:dyDescent="0.2">
      <c r="A15" s="275">
        <v>9</v>
      </c>
      <c r="B15" s="260">
        <v>9</v>
      </c>
      <c r="C15" s="261" t="s">
        <v>139</v>
      </c>
      <c r="D15" s="262">
        <f>VLOOKUP(A15,[2]Template!$A$3:$G$133,7,FALSE)</f>
        <v>10</v>
      </c>
      <c r="E15" s="263">
        <f t="shared" si="1"/>
        <v>210000</v>
      </c>
      <c r="F15" s="262"/>
      <c r="G15" s="264">
        <f t="shared" si="10"/>
        <v>0</v>
      </c>
      <c r="H15" s="262"/>
      <c r="I15" s="264">
        <f t="shared" si="11"/>
        <v>0</v>
      </c>
      <c r="J15" s="265">
        <f t="shared" si="2"/>
        <v>0</v>
      </c>
      <c r="K15" s="266"/>
      <c r="L15" s="267">
        <f>VLOOKUP($A15,'[3]21-22_4_Level 4'!$A$7:$F$139,6,FALSE)</f>
        <v>742340</v>
      </c>
      <c r="M15" s="268"/>
      <c r="N15" s="262">
        <f>VLOOKUP($A15,'[4]Feb MFP_SCA'!$B$4:$K$124,10,FALSE)</f>
        <v>16368</v>
      </c>
      <c r="O15" s="269">
        <f t="shared" si="12"/>
        <v>965712</v>
      </c>
      <c r="P15" s="264"/>
      <c r="Q15" s="269">
        <f t="shared" si="13"/>
        <v>965712</v>
      </c>
      <c r="R15" s="270">
        <f>VLOOKUP($A15,[5]MFP!$A$7:$E$139,4,FALSE)</f>
        <v>2692.3973515424382</v>
      </c>
      <c r="S15" s="271">
        <f t="shared" si="3"/>
        <v>2692397</v>
      </c>
      <c r="T15" s="271">
        <f t="shared" si="4"/>
        <v>678484</v>
      </c>
      <c r="U15" s="271">
        <f t="shared" si="14"/>
        <v>3370881</v>
      </c>
      <c r="V15" s="270">
        <f>VLOOKUP($A15,[5]MFP!$A$7:$E$139,5,FALSE)</f>
        <v>2258.7425757171077</v>
      </c>
      <c r="W15" s="271">
        <f t="shared" si="5"/>
        <v>1129371</v>
      </c>
      <c r="X15" s="271">
        <f t="shared" si="6"/>
        <v>324129</v>
      </c>
      <c r="Y15" s="271">
        <f t="shared" si="15"/>
        <v>1453500</v>
      </c>
      <c r="Z15" s="270">
        <f t="shared" si="7"/>
        <v>4951.1399272595463</v>
      </c>
      <c r="AA15" s="271">
        <f t="shared" si="7"/>
        <v>3821768</v>
      </c>
      <c r="AB15" s="271">
        <f t="shared" si="7"/>
        <v>1002613</v>
      </c>
      <c r="AC15" s="272">
        <f t="shared" si="7"/>
        <v>4824381</v>
      </c>
      <c r="AD15" s="270">
        <f>VLOOKUP($A15,[5]MFP!$A$7:$E$139,4,FALSE)</f>
        <v>2692.3973515424382</v>
      </c>
      <c r="AE15" s="271">
        <f t="shared" si="16"/>
        <v>2153918</v>
      </c>
      <c r="AF15" s="271">
        <f t="shared" si="17"/>
        <v>542787</v>
      </c>
      <c r="AG15" s="271">
        <f t="shared" si="18"/>
        <v>2696705</v>
      </c>
      <c r="AH15" s="270">
        <f>VLOOKUP($A15,[5]MFP!$A$7:$E$139,5,FALSE)</f>
        <v>2258.7425757171077</v>
      </c>
      <c r="AI15" s="271">
        <f t="shared" si="19"/>
        <v>903497</v>
      </c>
      <c r="AJ15" s="271">
        <f t="shared" si="20"/>
        <v>259304</v>
      </c>
      <c r="AK15" s="271">
        <f t="shared" si="21"/>
        <v>1162801</v>
      </c>
      <c r="AL15" s="270">
        <f t="shared" si="8"/>
        <v>4951.1399272595463</v>
      </c>
      <c r="AM15" s="271">
        <f t="shared" si="8"/>
        <v>3057415</v>
      </c>
      <c r="AN15" s="271">
        <f t="shared" si="8"/>
        <v>802091</v>
      </c>
      <c r="AO15" s="273">
        <f t="shared" si="8"/>
        <v>3859506</v>
      </c>
      <c r="AP15" s="274">
        <f t="shared" si="9"/>
        <v>10601939</v>
      </c>
    </row>
    <row r="16" spans="1:42" ht="15" customHeight="1" x14ac:dyDescent="0.2">
      <c r="A16" s="276">
        <v>10</v>
      </c>
      <c r="B16" s="277">
        <v>10</v>
      </c>
      <c r="C16" s="278" t="s">
        <v>140</v>
      </c>
      <c r="D16" s="279">
        <f>VLOOKUP(A16,[2]Template!$A$3:$G$133,7,FALSE)</f>
        <v>29</v>
      </c>
      <c r="E16" s="280">
        <f t="shared" si="1"/>
        <v>609000</v>
      </c>
      <c r="F16" s="279"/>
      <c r="G16" s="281">
        <f t="shared" si="10"/>
        <v>0</v>
      </c>
      <c r="H16" s="279"/>
      <c r="I16" s="281">
        <f t="shared" si="11"/>
        <v>0</v>
      </c>
      <c r="J16" s="282">
        <f t="shared" si="2"/>
        <v>0</v>
      </c>
      <c r="K16" s="283"/>
      <c r="L16" s="284">
        <f>VLOOKUP($A16,'[3]21-22_4_Level 4'!$A$7:$F$139,6,FALSE)</f>
        <v>483687</v>
      </c>
      <c r="M16" s="285"/>
      <c r="N16" s="279">
        <f>VLOOKUP($A16,'[4]Feb MFP_SCA'!$B$4:$K$124,10,FALSE)</f>
        <v>12322</v>
      </c>
      <c r="O16" s="286">
        <f t="shared" si="12"/>
        <v>726998</v>
      </c>
      <c r="P16" s="281"/>
      <c r="Q16" s="286">
        <f t="shared" si="13"/>
        <v>726998</v>
      </c>
      <c r="R16" s="287">
        <f>VLOOKUP($A16,[5]MFP!$A$7:$E$139,4,FALSE)</f>
        <v>3026.9807387435703</v>
      </c>
      <c r="S16" s="288">
        <f t="shared" si="3"/>
        <v>3026981</v>
      </c>
      <c r="T16" s="288">
        <f t="shared" si="4"/>
        <v>762799</v>
      </c>
      <c r="U16" s="288">
        <f t="shared" si="14"/>
        <v>3789780</v>
      </c>
      <c r="V16" s="287">
        <f>VLOOKUP($A16,[5]MFP!$A$7:$E$139,5,FALSE)</f>
        <v>1686.6884473359219</v>
      </c>
      <c r="W16" s="288">
        <f t="shared" si="5"/>
        <v>843344</v>
      </c>
      <c r="X16" s="288">
        <f t="shared" si="6"/>
        <v>242040</v>
      </c>
      <c r="Y16" s="288">
        <f t="shared" si="15"/>
        <v>1085384</v>
      </c>
      <c r="Z16" s="287">
        <f t="shared" si="7"/>
        <v>4713.6691860794926</v>
      </c>
      <c r="AA16" s="288">
        <f t="shared" si="7"/>
        <v>3870325</v>
      </c>
      <c r="AB16" s="288">
        <f t="shared" si="7"/>
        <v>1004839</v>
      </c>
      <c r="AC16" s="289">
        <f t="shared" si="7"/>
        <v>4875164</v>
      </c>
      <c r="AD16" s="287">
        <f>VLOOKUP($A16,[5]MFP!$A$7:$E$139,4,FALSE)</f>
        <v>3026.9807387435703</v>
      </c>
      <c r="AE16" s="288">
        <f t="shared" si="16"/>
        <v>2421585</v>
      </c>
      <c r="AF16" s="288">
        <f t="shared" si="17"/>
        <v>610239</v>
      </c>
      <c r="AG16" s="288">
        <f t="shared" si="18"/>
        <v>3031824</v>
      </c>
      <c r="AH16" s="287">
        <f>VLOOKUP($A16,[5]MFP!$A$7:$E$139,5,FALSE)</f>
        <v>1686.6884473359219</v>
      </c>
      <c r="AI16" s="288">
        <f t="shared" si="19"/>
        <v>674675</v>
      </c>
      <c r="AJ16" s="288">
        <f t="shared" si="20"/>
        <v>193632</v>
      </c>
      <c r="AK16" s="288">
        <f t="shared" si="21"/>
        <v>868307</v>
      </c>
      <c r="AL16" s="287">
        <f t="shared" si="8"/>
        <v>4713.6691860794926</v>
      </c>
      <c r="AM16" s="288">
        <f t="shared" si="8"/>
        <v>3096260</v>
      </c>
      <c r="AN16" s="288">
        <f t="shared" si="8"/>
        <v>803871</v>
      </c>
      <c r="AO16" s="290">
        <f t="shared" si="8"/>
        <v>3900131</v>
      </c>
      <c r="AP16" s="291">
        <f t="shared" si="9"/>
        <v>10594980</v>
      </c>
    </row>
    <row r="17" spans="1:42" ht="15" customHeight="1" x14ac:dyDescent="0.2">
      <c r="A17" s="243">
        <v>11</v>
      </c>
      <c r="B17" s="244">
        <v>11</v>
      </c>
      <c r="C17" s="245" t="s">
        <v>141</v>
      </c>
      <c r="D17" s="246">
        <f>VLOOKUP(A17,[2]Template!$A$3:$G$133,7,FALSE)</f>
        <v>0</v>
      </c>
      <c r="E17" s="247">
        <f t="shared" si="1"/>
        <v>0</v>
      </c>
      <c r="F17" s="246"/>
      <c r="G17" s="248">
        <f t="shared" si="10"/>
        <v>0</v>
      </c>
      <c r="H17" s="246"/>
      <c r="I17" s="248">
        <f t="shared" si="11"/>
        <v>0</v>
      </c>
      <c r="J17" s="249">
        <f t="shared" si="2"/>
        <v>0</v>
      </c>
      <c r="K17" s="250"/>
      <c r="L17" s="251">
        <f>VLOOKUP($A17,'[3]21-22_4_Level 4'!$A$7:$F$139,6,FALSE)</f>
        <v>53864</v>
      </c>
      <c r="M17" s="252"/>
      <c r="N17" s="246">
        <f>VLOOKUP($A17,'[4]Feb MFP_SCA'!$B$4:$K$124,10,FALSE)</f>
        <v>676</v>
      </c>
      <c r="O17" s="253">
        <f t="shared" si="12"/>
        <v>39884</v>
      </c>
      <c r="P17" s="248"/>
      <c r="Q17" s="253">
        <f t="shared" si="13"/>
        <v>39884</v>
      </c>
      <c r="R17" s="254">
        <f>VLOOKUP($A17,[5]MFP!$A$7:$E$139,4,FALSE)</f>
        <v>153.19394685725098</v>
      </c>
      <c r="S17" s="255">
        <f t="shared" si="3"/>
        <v>153194</v>
      </c>
      <c r="T17" s="255">
        <f t="shared" si="4"/>
        <v>38605</v>
      </c>
      <c r="U17" s="255">
        <f t="shared" si="14"/>
        <v>191799</v>
      </c>
      <c r="V17" s="254">
        <f>VLOOKUP($A17,[5]MFP!$A$7:$E$139,5,FALSE)</f>
        <v>117.963807004689</v>
      </c>
      <c r="W17" s="255">
        <f t="shared" si="5"/>
        <v>58982</v>
      </c>
      <c r="X17" s="255">
        <f t="shared" si="6"/>
        <v>16928</v>
      </c>
      <c r="Y17" s="255">
        <f t="shared" si="15"/>
        <v>75910</v>
      </c>
      <c r="Z17" s="254">
        <f t="shared" si="7"/>
        <v>271.15775386193997</v>
      </c>
      <c r="AA17" s="255">
        <f t="shared" si="7"/>
        <v>212176</v>
      </c>
      <c r="AB17" s="255">
        <f t="shared" si="7"/>
        <v>55533</v>
      </c>
      <c r="AC17" s="256">
        <f t="shared" si="7"/>
        <v>267709</v>
      </c>
      <c r="AD17" s="254">
        <f>VLOOKUP($A17,[5]MFP!$A$7:$E$139,4,FALSE)</f>
        <v>153.19394685725098</v>
      </c>
      <c r="AE17" s="255">
        <f t="shared" si="16"/>
        <v>122555</v>
      </c>
      <c r="AF17" s="255">
        <f t="shared" si="17"/>
        <v>30884</v>
      </c>
      <c r="AG17" s="255">
        <f t="shared" si="18"/>
        <v>153439</v>
      </c>
      <c r="AH17" s="254">
        <f>VLOOKUP($A17,[5]MFP!$A$7:$E$139,5,FALSE)</f>
        <v>117.963807004689</v>
      </c>
      <c r="AI17" s="255">
        <f t="shared" si="19"/>
        <v>47186</v>
      </c>
      <c r="AJ17" s="255">
        <f t="shared" si="20"/>
        <v>13542</v>
      </c>
      <c r="AK17" s="255">
        <f t="shared" si="21"/>
        <v>60728</v>
      </c>
      <c r="AL17" s="254">
        <f t="shared" si="8"/>
        <v>271.15775386193997</v>
      </c>
      <c r="AM17" s="255">
        <f t="shared" si="8"/>
        <v>169741</v>
      </c>
      <c r="AN17" s="255">
        <f t="shared" si="8"/>
        <v>44426</v>
      </c>
      <c r="AO17" s="257">
        <f t="shared" si="8"/>
        <v>214167</v>
      </c>
      <c r="AP17" s="258">
        <f t="shared" si="9"/>
        <v>575624</v>
      </c>
    </row>
    <row r="18" spans="1:42" ht="15" customHeight="1" x14ac:dyDescent="0.2">
      <c r="A18" s="275">
        <v>12</v>
      </c>
      <c r="B18" s="260">
        <v>12</v>
      </c>
      <c r="C18" s="261" t="s">
        <v>142</v>
      </c>
      <c r="D18" s="262">
        <f>VLOOKUP(A18,[2]Template!$A$3:$G$133,7,FALSE)</f>
        <v>0</v>
      </c>
      <c r="E18" s="263">
        <f t="shared" si="1"/>
        <v>0</v>
      </c>
      <c r="F18" s="262"/>
      <c r="G18" s="264">
        <f t="shared" si="10"/>
        <v>0</v>
      </c>
      <c r="H18" s="262"/>
      <c r="I18" s="264">
        <f t="shared" si="11"/>
        <v>0</v>
      </c>
      <c r="J18" s="265">
        <f t="shared" si="2"/>
        <v>0</v>
      </c>
      <c r="K18" s="266"/>
      <c r="L18" s="267">
        <f>VLOOKUP($A18,'[3]21-22_4_Level 4'!$A$7:$F$139,6,FALSE)</f>
        <v>25000</v>
      </c>
      <c r="M18" s="268"/>
      <c r="N18" s="262">
        <f>VLOOKUP($A18,'[4]Feb MFP_SCA'!$B$4:$K$124,10,FALSE)</f>
        <v>529</v>
      </c>
      <c r="O18" s="269">
        <f t="shared" si="12"/>
        <v>31211</v>
      </c>
      <c r="P18" s="264"/>
      <c r="Q18" s="269">
        <f t="shared" si="13"/>
        <v>31211</v>
      </c>
      <c r="R18" s="270">
        <f>VLOOKUP($A18,[5]MFP!$A$7:$E$139,4,FALSE)</f>
        <v>167.25145755226703</v>
      </c>
      <c r="S18" s="271">
        <f t="shared" si="3"/>
        <v>167251</v>
      </c>
      <c r="T18" s="271">
        <f t="shared" si="4"/>
        <v>42147</v>
      </c>
      <c r="U18" s="271">
        <f t="shared" si="14"/>
        <v>209398</v>
      </c>
      <c r="V18" s="270">
        <f>VLOOKUP($A18,[5]MFP!$A$7:$E$139,5,FALSE)</f>
        <v>92.764707868332991</v>
      </c>
      <c r="W18" s="271">
        <f t="shared" si="5"/>
        <v>46382</v>
      </c>
      <c r="X18" s="271">
        <f t="shared" si="6"/>
        <v>13312</v>
      </c>
      <c r="Y18" s="271">
        <f t="shared" si="15"/>
        <v>59694</v>
      </c>
      <c r="Z18" s="270">
        <f t="shared" si="7"/>
        <v>260.01616542060003</v>
      </c>
      <c r="AA18" s="271">
        <f t="shared" si="7"/>
        <v>213633</v>
      </c>
      <c r="AB18" s="271">
        <f t="shared" si="7"/>
        <v>55459</v>
      </c>
      <c r="AC18" s="272">
        <f t="shared" si="7"/>
        <v>269092</v>
      </c>
      <c r="AD18" s="270">
        <f>VLOOKUP($A18,[5]MFP!$A$7:$E$139,4,FALSE)</f>
        <v>167.25145755226703</v>
      </c>
      <c r="AE18" s="271">
        <f t="shared" si="16"/>
        <v>133801</v>
      </c>
      <c r="AF18" s="271">
        <f t="shared" si="17"/>
        <v>33718</v>
      </c>
      <c r="AG18" s="271">
        <f t="shared" si="18"/>
        <v>167519</v>
      </c>
      <c r="AH18" s="270">
        <f>VLOOKUP($A18,[5]MFP!$A$7:$E$139,5,FALSE)</f>
        <v>92.764707868332991</v>
      </c>
      <c r="AI18" s="271">
        <f t="shared" si="19"/>
        <v>37106</v>
      </c>
      <c r="AJ18" s="271">
        <f t="shared" si="20"/>
        <v>10649</v>
      </c>
      <c r="AK18" s="271">
        <f t="shared" si="21"/>
        <v>47755</v>
      </c>
      <c r="AL18" s="270">
        <f t="shared" si="8"/>
        <v>260.01616542060003</v>
      </c>
      <c r="AM18" s="271">
        <f t="shared" si="8"/>
        <v>170907</v>
      </c>
      <c r="AN18" s="271">
        <f t="shared" si="8"/>
        <v>44367</v>
      </c>
      <c r="AO18" s="273">
        <f t="shared" si="8"/>
        <v>215274</v>
      </c>
      <c r="AP18" s="274">
        <f t="shared" si="9"/>
        <v>540577</v>
      </c>
    </row>
    <row r="19" spans="1:42" ht="15" customHeight="1" x14ac:dyDescent="0.2">
      <c r="A19" s="275">
        <v>13</v>
      </c>
      <c r="B19" s="260">
        <v>13</v>
      </c>
      <c r="C19" s="261" t="s">
        <v>143</v>
      </c>
      <c r="D19" s="262">
        <f>VLOOKUP(A19,[2]Template!$A$3:$G$133,7,FALSE)</f>
        <v>0</v>
      </c>
      <c r="E19" s="263">
        <f t="shared" si="1"/>
        <v>0</v>
      </c>
      <c r="F19" s="262"/>
      <c r="G19" s="264">
        <f t="shared" si="10"/>
        <v>0</v>
      </c>
      <c r="H19" s="262"/>
      <c r="I19" s="264">
        <f t="shared" si="11"/>
        <v>0</v>
      </c>
      <c r="J19" s="265">
        <f t="shared" si="2"/>
        <v>0</v>
      </c>
      <c r="K19" s="266"/>
      <c r="L19" s="267">
        <f>VLOOKUP($A19,'[3]21-22_4_Level 4'!$A$7:$F$139,6,FALSE)</f>
        <v>26570</v>
      </c>
      <c r="M19" s="268"/>
      <c r="N19" s="262">
        <f>VLOOKUP($A19,'[4]Feb MFP_SCA'!$B$4:$K$124,10,FALSE)</f>
        <v>494</v>
      </c>
      <c r="O19" s="269">
        <f t="shared" si="12"/>
        <v>29146</v>
      </c>
      <c r="P19" s="264"/>
      <c r="Q19" s="269">
        <f t="shared" si="13"/>
        <v>29146</v>
      </c>
      <c r="R19" s="270">
        <f>VLOOKUP($A19,[5]MFP!$A$7:$E$139,4,FALSE)</f>
        <v>89.64670894462401</v>
      </c>
      <c r="S19" s="271">
        <f t="shared" si="3"/>
        <v>89647</v>
      </c>
      <c r="T19" s="271">
        <f t="shared" si="4"/>
        <v>22591</v>
      </c>
      <c r="U19" s="271">
        <f t="shared" si="14"/>
        <v>112238</v>
      </c>
      <c r="V19" s="270">
        <f>VLOOKUP($A19,[5]MFP!$A$7:$E$139,5,FALSE)</f>
        <v>98.452494477320002</v>
      </c>
      <c r="W19" s="271">
        <f t="shared" si="5"/>
        <v>49226</v>
      </c>
      <c r="X19" s="271">
        <f t="shared" si="6"/>
        <v>14128</v>
      </c>
      <c r="Y19" s="271">
        <f t="shared" si="15"/>
        <v>63354</v>
      </c>
      <c r="Z19" s="270">
        <f t="shared" si="7"/>
        <v>188.09920342194403</v>
      </c>
      <c r="AA19" s="271">
        <f t="shared" si="7"/>
        <v>138873</v>
      </c>
      <c r="AB19" s="271">
        <f t="shared" si="7"/>
        <v>36719</v>
      </c>
      <c r="AC19" s="272">
        <f t="shared" si="7"/>
        <v>175592</v>
      </c>
      <c r="AD19" s="270">
        <f>VLOOKUP($A19,[5]MFP!$A$7:$E$139,4,FALSE)</f>
        <v>89.64670894462401</v>
      </c>
      <c r="AE19" s="271">
        <f t="shared" si="16"/>
        <v>71717</v>
      </c>
      <c r="AF19" s="271">
        <f t="shared" si="17"/>
        <v>18073</v>
      </c>
      <c r="AG19" s="271">
        <f t="shared" si="18"/>
        <v>89790</v>
      </c>
      <c r="AH19" s="270">
        <f>VLOOKUP($A19,[5]MFP!$A$7:$E$139,5,FALSE)</f>
        <v>98.452494477320002</v>
      </c>
      <c r="AI19" s="271">
        <f t="shared" si="19"/>
        <v>39381</v>
      </c>
      <c r="AJ19" s="271">
        <f t="shared" si="20"/>
        <v>11302</v>
      </c>
      <c r="AK19" s="271">
        <f t="shared" si="21"/>
        <v>50683</v>
      </c>
      <c r="AL19" s="270">
        <f t="shared" si="8"/>
        <v>188.09920342194403</v>
      </c>
      <c r="AM19" s="271">
        <f t="shared" si="8"/>
        <v>111098</v>
      </c>
      <c r="AN19" s="271">
        <f t="shared" si="8"/>
        <v>29375</v>
      </c>
      <c r="AO19" s="273">
        <f t="shared" si="8"/>
        <v>140473</v>
      </c>
      <c r="AP19" s="274">
        <f t="shared" si="9"/>
        <v>371781</v>
      </c>
    </row>
    <row r="20" spans="1:42" ht="15" customHeight="1" x14ac:dyDescent="0.2">
      <c r="A20" s="275">
        <v>14</v>
      </c>
      <c r="B20" s="260">
        <v>14</v>
      </c>
      <c r="C20" s="261" t="s">
        <v>144</v>
      </c>
      <c r="D20" s="262">
        <f>VLOOKUP(A20,[2]Template!$A$3:$G$133,7,FALSE)</f>
        <v>0</v>
      </c>
      <c r="E20" s="263">
        <f t="shared" si="1"/>
        <v>0</v>
      </c>
      <c r="F20" s="262"/>
      <c r="G20" s="264">
        <f t="shared" si="10"/>
        <v>0</v>
      </c>
      <c r="H20" s="262"/>
      <c r="I20" s="264">
        <f t="shared" si="11"/>
        <v>0</v>
      </c>
      <c r="J20" s="265">
        <f t="shared" si="2"/>
        <v>0</v>
      </c>
      <c r="K20" s="266"/>
      <c r="L20" s="267">
        <f>VLOOKUP($A20,'[3]21-22_4_Level 4'!$A$7:$F$139,6,FALSE)</f>
        <v>56033</v>
      </c>
      <c r="M20" s="268"/>
      <c r="N20" s="262">
        <f>VLOOKUP($A20,'[4]Feb MFP_SCA'!$B$4:$K$124,10,FALSE)</f>
        <v>668</v>
      </c>
      <c r="O20" s="269">
        <f t="shared" si="12"/>
        <v>39412</v>
      </c>
      <c r="P20" s="264"/>
      <c r="Q20" s="269">
        <f t="shared" si="13"/>
        <v>39412</v>
      </c>
      <c r="R20" s="270">
        <f>VLOOKUP($A20,[5]MFP!$A$7:$E$139,4,FALSE)</f>
        <v>138.05992025003303</v>
      </c>
      <c r="S20" s="271">
        <f t="shared" si="3"/>
        <v>138060</v>
      </c>
      <c r="T20" s="271">
        <f t="shared" si="4"/>
        <v>34791</v>
      </c>
      <c r="U20" s="271">
        <f t="shared" si="14"/>
        <v>172851</v>
      </c>
      <c r="V20" s="270">
        <f>VLOOKUP($A20,[5]MFP!$A$7:$E$139,5,FALSE)</f>
        <v>134.940079749923</v>
      </c>
      <c r="W20" s="271">
        <f t="shared" si="5"/>
        <v>67470</v>
      </c>
      <c r="X20" s="271">
        <f t="shared" si="6"/>
        <v>19364</v>
      </c>
      <c r="Y20" s="271">
        <f t="shared" si="15"/>
        <v>86834</v>
      </c>
      <c r="Z20" s="270">
        <f t="shared" si="7"/>
        <v>272.999999999956</v>
      </c>
      <c r="AA20" s="271">
        <f t="shared" si="7"/>
        <v>205530</v>
      </c>
      <c r="AB20" s="271">
        <f t="shared" si="7"/>
        <v>54155</v>
      </c>
      <c r="AC20" s="272">
        <f t="shared" si="7"/>
        <v>259685</v>
      </c>
      <c r="AD20" s="270">
        <f>VLOOKUP($A20,[5]MFP!$A$7:$E$139,4,FALSE)</f>
        <v>138.05992025003303</v>
      </c>
      <c r="AE20" s="271">
        <f t="shared" si="16"/>
        <v>110448</v>
      </c>
      <c r="AF20" s="271">
        <f t="shared" si="17"/>
        <v>27833</v>
      </c>
      <c r="AG20" s="271">
        <f t="shared" si="18"/>
        <v>138281</v>
      </c>
      <c r="AH20" s="270">
        <f>VLOOKUP($A20,[5]MFP!$A$7:$E$139,5,FALSE)</f>
        <v>134.940079749923</v>
      </c>
      <c r="AI20" s="271">
        <f t="shared" si="19"/>
        <v>53976</v>
      </c>
      <c r="AJ20" s="271">
        <f t="shared" si="20"/>
        <v>15491</v>
      </c>
      <c r="AK20" s="271">
        <f t="shared" si="21"/>
        <v>69467</v>
      </c>
      <c r="AL20" s="270">
        <f t="shared" si="8"/>
        <v>272.999999999956</v>
      </c>
      <c r="AM20" s="271">
        <f t="shared" si="8"/>
        <v>164424</v>
      </c>
      <c r="AN20" s="271">
        <f t="shared" si="8"/>
        <v>43324</v>
      </c>
      <c r="AO20" s="273">
        <f t="shared" si="8"/>
        <v>207748</v>
      </c>
      <c r="AP20" s="274">
        <f t="shared" si="9"/>
        <v>562878</v>
      </c>
    </row>
    <row r="21" spans="1:42" ht="15" customHeight="1" x14ac:dyDescent="0.2">
      <c r="A21" s="276">
        <v>15</v>
      </c>
      <c r="B21" s="277">
        <v>15</v>
      </c>
      <c r="C21" s="278" t="s">
        <v>145</v>
      </c>
      <c r="D21" s="279">
        <f>VLOOKUP(A21,[2]Template!$A$3:$G$133,7,FALSE)</f>
        <v>0</v>
      </c>
      <c r="E21" s="280">
        <f t="shared" si="1"/>
        <v>0</v>
      </c>
      <c r="F21" s="279"/>
      <c r="G21" s="281">
        <f t="shared" si="10"/>
        <v>0</v>
      </c>
      <c r="H21" s="279"/>
      <c r="I21" s="281">
        <f t="shared" si="11"/>
        <v>0</v>
      </c>
      <c r="J21" s="282">
        <f t="shared" si="2"/>
        <v>0</v>
      </c>
      <c r="K21" s="283"/>
      <c r="L21" s="284">
        <f>VLOOKUP($A21,'[3]21-22_4_Level 4'!$A$7:$F$139,6,FALSE)</f>
        <v>78446</v>
      </c>
      <c r="M21" s="285"/>
      <c r="N21" s="279">
        <f>VLOOKUP($A21,'[4]Feb MFP_SCA'!$B$4:$K$124,10,FALSE)</f>
        <v>1416</v>
      </c>
      <c r="O21" s="286">
        <f t="shared" si="12"/>
        <v>83544</v>
      </c>
      <c r="P21" s="281"/>
      <c r="Q21" s="286">
        <f t="shared" si="13"/>
        <v>83544</v>
      </c>
      <c r="R21" s="287">
        <f>VLOOKUP($A21,[5]MFP!$A$7:$E$139,4,FALSE)</f>
        <v>296.98</v>
      </c>
      <c r="S21" s="288">
        <f t="shared" si="3"/>
        <v>296980</v>
      </c>
      <c r="T21" s="288">
        <f t="shared" si="4"/>
        <v>74839</v>
      </c>
      <c r="U21" s="288">
        <f t="shared" si="14"/>
        <v>371819</v>
      </c>
      <c r="V21" s="287">
        <f>VLOOKUP($A21,[5]MFP!$A$7:$E$139,5,FALSE)</f>
        <v>209</v>
      </c>
      <c r="W21" s="288">
        <f t="shared" si="5"/>
        <v>104500</v>
      </c>
      <c r="X21" s="288">
        <f t="shared" si="6"/>
        <v>29992</v>
      </c>
      <c r="Y21" s="288">
        <f t="shared" si="15"/>
        <v>134492</v>
      </c>
      <c r="Z21" s="287">
        <f t="shared" si="7"/>
        <v>505.98</v>
      </c>
      <c r="AA21" s="288">
        <f t="shared" si="7"/>
        <v>401480</v>
      </c>
      <c r="AB21" s="288">
        <f t="shared" si="7"/>
        <v>104831</v>
      </c>
      <c r="AC21" s="289">
        <f t="shared" si="7"/>
        <v>506311</v>
      </c>
      <c r="AD21" s="287">
        <f>VLOOKUP($A21,[5]MFP!$A$7:$E$139,4,FALSE)</f>
        <v>296.98</v>
      </c>
      <c r="AE21" s="288">
        <f t="shared" si="16"/>
        <v>237584</v>
      </c>
      <c r="AF21" s="288">
        <f t="shared" si="17"/>
        <v>59871</v>
      </c>
      <c r="AG21" s="288">
        <f t="shared" si="18"/>
        <v>297455</v>
      </c>
      <c r="AH21" s="287">
        <f>VLOOKUP($A21,[5]MFP!$A$7:$E$139,5,FALSE)</f>
        <v>209</v>
      </c>
      <c r="AI21" s="288">
        <f t="shared" si="19"/>
        <v>83600</v>
      </c>
      <c r="AJ21" s="288">
        <f t="shared" si="20"/>
        <v>23993</v>
      </c>
      <c r="AK21" s="288">
        <f t="shared" si="21"/>
        <v>107593</v>
      </c>
      <c r="AL21" s="287">
        <f t="shared" si="8"/>
        <v>505.98</v>
      </c>
      <c r="AM21" s="288">
        <f t="shared" si="8"/>
        <v>321184</v>
      </c>
      <c r="AN21" s="288">
        <f t="shared" si="8"/>
        <v>83864</v>
      </c>
      <c r="AO21" s="290">
        <f t="shared" si="8"/>
        <v>405048</v>
      </c>
      <c r="AP21" s="291">
        <f t="shared" si="9"/>
        <v>1073349</v>
      </c>
    </row>
    <row r="22" spans="1:42" ht="15" customHeight="1" x14ac:dyDescent="0.2">
      <c r="A22" s="243">
        <v>16</v>
      </c>
      <c r="B22" s="244">
        <v>16</v>
      </c>
      <c r="C22" s="245" t="s">
        <v>146</v>
      </c>
      <c r="D22" s="246">
        <f>VLOOKUP(A22,[2]Template!$A$3:$G$133,7,FALSE)</f>
        <v>0</v>
      </c>
      <c r="E22" s="247">
        <f t="shared" si="1"/>
        <v>0</v>
      </c>
      <c r="F22" s="246"/>
      <c r="G22" s="248">
        <f t="shared" si="10"/>
        <v>0</v>
      </c>
      <c r="H22" s="246"/>
      <c r="I22" s="248">
        <f t="shared" si="11"/>
        <v>0</v>
      </c>
      <c r="J22" s="249">
        <f t="shared" si="2"/>
        <v>0</v>
      </c>
      <c r="K22" s="250"/>
      <c r="L22" s="251">
        <f>VLOOKUP($A22,'[3]21-22_4_Level 4'!$A$7:$F$139,6,FALSE)</f>
        <v>195029</v>
      </c>
      <c r="M22" s="252"/>
      <c r="N22" s="246">
        <f>VLOOKUP($A22,'[4]Feb MFP_SCA'!$B$4:$K$124,10,FALSE)</f>
        <v>2185</v>
      </c>
      <c r="O22" s="253">
        <f t="shared" si="12"/>
        <v>128915</v>
      </c>
      <c r="P22" s="248"/>
      <c r="Q22" s="253">
        <f t="shared" si="13"/>
        <v>128915</v>
      </c>
      <c r="R22" s="254">
        <f>VLOOKUP($A22,[5]MFP!$A$7:$E$139,4,FALSE)</f>
        <v>413</v>
      </c>
      <c r="S22" s="255">
        <f t="shared" si="3"/>
        <v>413000</v>
      </c>
      <c r="T22" s="255">
        <f t="shared" si="4"/>
        <v>104076</v>
      </c>
      <c r="U22" s="255">
        <f t="shared" si="14"/>
        <v>517076</v>
      </c>
      <c r="V22" s="254">
        <f>VLOOKUP($A22,[5]MFP!$A$7:$E$139,5,FALSE)</f>
        <v>310</v>
      </c>
      <c r="W22" s="255">
        <f t="shared" si="5"/>
        <v>155000</v>
      </c>
      <c r="X22" s="255">
        <f t="shared" si="6"/>
        <v>44485</v>
      </c>
      <c r="Y22" s="255">
        <f t="shared" si="15"/>
        <v>199485</v>
      </c>
      <c r="Z22" s="254">
        <f t="shared" si="7"/>
        <v>723</v>
      </c>
      <c r="AA22" s="255">
        <f t="shared" si="7"/>
        <v>568000</v>
      </c>
      <c r="AB22" s="255">
        <f t="shared" si="7"/>
        <v>148561</v>
      </c>
      <c r="AC22" s="256">
        <f t="shared" si="7"/>
        <v>716561</v>
      </c>
      <c r="AD22" s="254">
        <f>VLOOKUP($A22,[5]MFP!$A$7:$E$139,4,FALSE)</f>
        <v>413</v>
      </c>
      <c r="AE22" s="255">
        <f t="shared" si="16"/>
        <v>330400</v>
      </c>
      <c r="AF22" s="255">
        <f t="shared" si="17"/>
        <v>83261</v>
      </c>
      <c r="AG22" s="255">
        <f t="shared" si="18"/>
        <v>413661</v>
      </c>
      <c r="AH22" s="254">
        <f>VLOOKUP($A22,[5]MFP!$A$7:$E$139,5,FALSE)</f>
        <v>310</v>
      </c>
      <c r="AI22" s="255">
        <f t="shared" si="19"/>
        <v>124000</v>
      </c>
      <c r="AJ22" s="255">
        <f t="shared" si="20"/>
        <v>35588</v>
      </c>
      <c r="AK22" s="255">
        <f t="shared" si="21"/>
        <v>159588</v>
      </c>
      <c r="AL22" s="254">
        <f t="shared" si="8"/>
        <v>723</v>
      </c>
      <c r="AM22" s="255">
        <f t="shared" si="8"/>
        <v>454400</v>
      </c>
      <c r="AN22" s="255">
        <f t="shared" si="8"/>
        <v>118849</v>
      </c>
      <c r="AO22" s="257">
        <f t="shared" si="8"/>
        <v>573249</v>
      </c>
      <c r="AP22" s="258">
        <f t="shared" si="9"/>
        <v>1613754</v>
      </c>
    </row>
    <row r="23" spans="1:42" ht="15" customHeight="1" x14ac:dyDescent="0.2">
      <c r="A23" s="275">
        <v>17</v>
      </c>
      <c r="B23" s="260">
        <v>17</v>
      </c>
      <c r="C23" s="261" t="s">
        <v>147</v>
      </c>
      <c r="D23" s="262">
        <f>VLOOKUP(A23,[2]Template!$A$3:$G$133,7,FALSE)</f>
        <v>19</v>
      </c>
      <c r="E23" s="263">
        <f t="shared" si="1"/>
        <v>399000</v>
      </c>
      <c r="F23" s="262"/>
      <c r="G23" s="264">
        <f t="shared" si="10"/>
        <v>0</v>
      </c>
      <c r="H23" s="262"/>
      <c r="I23" s="264">
        <f t="shared" si="11"/>
        <v>0</v>
      </c>
      <c r="J23" s="265">
        <f t="shared" si="2"/>
        <v>0</v>
      </c>
      <c r="K23" s="266"/>
      <c r="L23" s="267">
        <f>VLOOKUP($A23,'[3]21-22_4_Level 4'!$A$7:$F$139,6,FALSE)</f>
        <v>783913</v>
      </c>
      <c r="M23" s="268"/>
      <c r="N23" s="262">
        <f>VLOOKUP($A23,'[4]Feb MFP_SCA'!$B$4:$K$124,10,FALSE)</f>
        <v>16473</v>
      </c>
      <c r="O23" s="269">
        <f t="shared" si="12"/>
        <v>971907</v>
      </c>
      <c r="P23" s="264"/>
      <c r="Q23" s="269">
        <f t="shared" si="13"/>
        <v>971907</v>
      </c>
      <c r="R23" s="270">
        <f>VLOOKUP($A23,[5]MFP!$A$7:$E$139,4,FALSE)</f>
        <v>3759.5276785699398</v>
      </c>
      <c r="S23" s="271">
        <f t="shared" si="3"/>
        <v>3759528</v>
      </c>
      <c r="T23" s="271">
        <f t="shared" si="4"/>
        <v>947401</v>
      </c>
      <c r="U23" s="271">
        <f t="shared" si="14"/>
        <v>4706929</v>
      </c>
      <c r="V23" s="270">
        <f>VLOOKUP($A23,[5]MFP!$A$7:$E$139,5,FALSE)</f>
        <v>2225.5664222069968</v>
      </c>
      <c r="W23" s="271">
        <f t="shared" si="5"/>
        <v>1112783</v>
      </c>
      <c r="X23" s="271">
        <f t="shared" si="6"/>
        <v>319369</v>
      </c>
      <c r="Y23" s="271">
        <f t="shared" si="15"/>
        <v>1432152</v>
      </c>
      <c r="Z23" s="270">
        <f t="shared" si="7"/>
        <v>5985.0941007769361</v>
      </c>
      <c r="AA23" s="271">
        <f t="shared" si="7"/>
        <v>4872311</v>
      </c>
      <c r="AB23" s="271">
        <f t="shared" si="7"/>
        <v>1266770</v>
      </c>
      <c r="AC23" s="272">
        <f t="shared" si="7"/>
        <v>6139081</v>
      </c>
      <c r="AD23" s="270">
        <f>VLOOKUP($A23,[5]MFP!$A$7:$E$139,4,FALSE)</f>
        <v>3759.5276785699398</v>
      </c>
      <c r="AE23" s="271">
        <f t="shared" si="16"/>
        <v>3007622</v>
      </c>
      <c r="AF23" s="271">
        <f t="shared" si="17"/>
        <v>757921</v>
      </c>
      <c r="AG23" s="271">
        <f t="shared" si="18"/>
        <v>3765543</v>
      </c>
      <c r="AH23" s="270">
        <f>VLOOKUP($A23,[5]MFP!$A$7:$E$139,5,FALSE)</f>
        <v>2225.5664222069968</v>
      </c>
      <c r="AI23" s="271">
        <f t="shared" si="19"/>
        <v>890227</v>
      </c>
      <c r="AJ23" s="271">
        <f t="shared" si="20"/>
        <v>255495</v>
      </c>
      <c r="AK23" s="271">
        <f t="shared" si="21"/>
        <v>1145722</v>
      </c>
      <c r="AL23" s="270">
        <f t="shared" ref="AL23:AO75" si="22">AD23+AH23</f>
        <v>5985.0941007769361</v>
      </c>
      <c r="AM23" s="271">
        <f t="shared" si="22"/>
        <v>3897849</v>
      </c>
      <c r="AN23" s="271">
        <f t="shared" si="22"/>
        <v>1013416</v>
      </c>
      <c r="AO23" s="273">
        <f t="shared" si="22"/>
        <v>4911265</v>
      </c>
      <c r="AP23" s="274">
        <f t="shared" si="9"/>
        <v>13205166</v>
      </c>
    </row>
    <row r="24" spans="1:42" ht="15" customHeight="1" x14ac:dyDescent="0.2">
      <c r="A24" s="275">
        <v>18</v>
      </c>
      <c r="B24" s="260">
        <v>18</v>
      </c>
      <c r="C24" s="261" t="s">
        <v>148</v>
      </c>
      <c r="D24" s="262">
        <f>VLOOKUP(A24,[2]Template!$A$3:$G$133,7,FALSE)</f>
        <v>2</v>
      </c>
      <c r="E24" s="263">
        <f t="shared" si="1"/>
        <v>42000</v>
      </c>
      <c r="F24" s="262"/>
      <c r="G24" s="264">
        <f t="shared" si="10"/>
        <v>0</v>
      </c>
      <c r="H24" s="262"/>
      <c r="I24" s="264">
        <f t="shared" si="11"/>
        <v>0</v>
      </c>
      <c r="J24" s="265">
        <f t="shared" si="2"/>
        <v>0</v>
      </c>
      <c r="K24" s="266"/>
      <c r="L24" s="267">
        <f>VLOOKUP($A24,'[3]21-22_4_Level 4'!$A$7:$F$139,6,FALSE)</f>
        <v>36150</v>
      </c>
      <c r="M24" s="268"/>
      <c r="N24" s="262">
        <f>VLOOKUP($A24,'[4]Feb MFP_SCA'!$B$4:$K$124,10,FALSE)</f>
        <v>370</v>
      </c>
      <c r="O24" s="269">
        <f t="shared" si="12"/>
        <v>21830</v>
      </c>
      <c r="P24" s="264"/>
      <c r="Q24" s="269">
        <f t="shared" si="13"/>
        <v>21830</v>
      </c>
      <c r="R24" s="270">
        <f>VLOOKUP($A24,[5]MFP!$A$7:$E$139,4,FALSE)</f>
        <v>73.255584935881984</v>
      </c>
      <c r="S24" s="271">
        <f t="shared" si="3"/>
        <v>73256</v>
      </c>
      <c r="T24" s="271">
        <f t="shared" si="4"/>
        <v>18461</v>
      </c>
      <c r="U24" s="271">
        <f t="shared" si="14"/>
        <v>91717</v>
      </c>
      <c r="V24" s="270">
        <f>VLOOKUP($A24,[5]MFP!$A$7:$E$139,5,FALSE)</f>
        <v>70.744415064089992</v>
      </c>
      <c r="W24" s="271">
        <f t="shared" si="5"/>
        <v>35372</v>
      </c>
      <c r="X24" s="271">
        <f t="shared" si="6"/>
        <v>10152</v>
      </c>
      <c r="Y24" s="271">
        <f t="shared" si="15"/>
        <v>45524</v>
      </c>
      <c r="Z24" s="270">
        <f t="shared" si="7"/>
        <v>143.99999999997198</v>
      </c>
      <c r="AA24" s="271">
        <f t="shared" si="7"/>
        <v>108628</v>
      </c>
      <c r="AB24" s="271">
        <f t="shared" si="7"/>
        <v>28613</v>
      </c>
      <c r="AC24" s="272">
        <f t="shared" si="7"/>
        <v>137241</v>
      </c>
      <c r="AD24" s="270">
        <f>VLOOKUP($A24,[5]MFP!$A$7:$E$139,4,FALSE)</f>
        <v>73.255584935881984</v>
      </c>
      <c r="AE24" s="271">
        <f t="shared" si="16"/>
        <v>58604</v>
      </c>
      <c r="AF24" s="271">
        <f t="shared" si="17"/>
        <v>14768</v>
      </c>
      <c r="AG24" s="271">
        <f t="shared" si="18"/>
        <v>73372</v>
      </c>
      <c r="AH24" s="270">
        <f>VLOOKUP($A24,[5]MFP!$A$7:$E$139,5,FALSE)</f>
        <v>70.744415064089992</v>
      </c>
      <c r="AI24" s="271">
        <f t="shared" si="19"/>
        <v>28298</v>
      </c>
      <c r="AJ24" s="271">
        <f t="shared" si="20"/>
        <v>8122</v>
      </c>
      <c r="AK24" s="271">
        <f t="shared" si="21"/>
        <v>36420</v>
      </c>
      <c r="AL24" s="270">
        <f t="shared" si="22"/>
        <v>143.99999999997198</v>
      </c>
      <c r="AM24" s="271">
        <f t="shared" si="22"/>
        <v>86902</v>
      </c>
      <c r="AN24" s="271">
        <f t="shared" si="22"/>
        <v>22890</v>
      </c>
      <c r="AO24" s="273">
        <f t="shared" si="22"/>
        <v>109792</v>
      </c>
      <c r="AP24" s="274">
        <f t="shared" si="9"/>
        <v>347013</v>
      </c>
    </row>
    <row r="25" spans="1:42" ht="15" customHeight="1" x14ac:dyDescent="0.2">
      <c r="A25" s="275">
        <v>19</v>
      </c>
      <c r="B25" s="260">
        <v>19</v>
      </c>
      <c r="C25" s="261" t="s">
        <v>149</v>
      </c>
      <c r="D25" s="262">
        <f>VLOOKUP(A25,[2]Template!$A$3:$G$133,7,FALSE)</f>
        <v>0</v>
      </c>
      <c r="E25" s="263">
        <f t="shared" si="1"/>
        <v>0</v>
      </c>
      <c r="F25" s="262"/>
      <c r="G25" s="264">
        <f t="shared" si="10"/>
        <v>0</v>
      </c>
      <c r="H25" s="262"/>
      <c r="I25" s="264">
        <f t="shared" si="11"/>
        <v>0</v>
      </c>
      <c r="J25" s="265">
        <f t="shared" si="2"/>
        <v>0</v>
      </c>
      <c r="K25" s="266"/>
      <c r="L25" s="267">
        <f>VLOOKUP($A25,'[3]21-22_4_Level 4'!$A$7:$F$139,6,FALSE)</f>
        <v>25000</v>
      </c>
      <c r="M25" s="268"/>
      <c r="N25" s="262">
        <f>VLOOKUP($A25,'[4]Feb MFP_SCA'!$B$4:$K$124,10,FALSE)</f>
        <v>770</v>
      </c>
      <c r="O25" s="269">
        <f t="shared" si="12"/>
        <v>45430</v>
      </c>
      <c r="P25" s="264"/>
      <c r="Q25" s="269">
        <f t="shared" si="13"/>
        <v>45430</v>
      </c>
      <c r="R25" s="270">
        <f>VLOOKUP($A25,[5]MFP!$A$7:$E$139,4,FALSE)</f>
        <v>163</v>
      </c>
      <c r="S25" s="271">
        <f t="shared" si="3"/>
        <v>163000</v>
      </c>
      <c r="T25" s="271">
        <f t="shared" si="4"/>
        <v>41076</v>
      </c>
      <c r="U25" s="271">
        <f t="shared" si="14"/>
        <v>204076</v>
      </c>
      <c r="V25" s="270">
        <f>VLOOKUP($A25,[5]MFP!$A$7:$E$139,5,FALSE)</f>
        <v>112</v>
      </c>
      <c r="W25" s="271">
        <f t="shared" si="5"/>
        <v>56000</v>
      </c>
      <c r="X25" s="271">
        <f t="shared" si="6"/>
        <v>16072</v>
      </c>
      <c r="Y25" s="271">
        <f t="shared" si="15"/>
        <v>72072</v>
      </c>
      <c r="Z25" s="270">
        <f t="shared" si="7"/>
        <v>275</v>
      </c>
      <c r="AA25" s="271">
        <f t="shared" si="7"/>
        <v>219000</v>
      </c>
      <c r="AB25" s="271">
        <f t="shared" si="7"/>
        <v>57148</v>
      </c>
      <c r="AC25" s="272">
        <f t="shared" si="7"/>
        <v>276148</v>
      </c>
      <c r="AD25" s="270">
        <f>VLOOKUP($A25,[5]MFP!$A$7:$E$139,4,FALSE)</f>
        <v>163</v>
      </c>
      <c r="AE25" s="271">
        <f t="shared" si="16"/>
        <v>130400</v>
      </c>
      <c r="AF25" s="271">
        <f t="shared" si="17"/>
        <v>32861</v>
      </c>
      <c r="AG25" s="271">
        <f t="shared" si="18"/>
        <v>163261</v>
      </c>
      <c r="AH25" s="270">
        <f>VLOOKUP($A25,[5]MFP!$A$7:$E$139,5,FALSE)</f>
        <v>112</v>
      </c>
      <c r="AI25" s="271">
        <f t="shared" si="19"/>
        <v>44800</v>
      </c>
      <c r="AJ25" s="271">
        <f t="shared" si="20"/>
        <v>12858</v>
      </c>
      <c r="AK25" s="271">
        <f t="shared" si="21"/>
        <v>57658</v>
      </c>
      <c r="AL25" s="270">
        <f t="shared" si="22"/>
        <v>275</v>
      </c>
      <c r="AM25" s="271">
        <f t="shared" si="22"/>
        <v>175200</v>
      </c>
      <c r="AN25" s="271">
        <f t="shared" si="22"/>
        <v>45719</v>
      </c>
      <c r="AO25" s="273">
        <f t="shared" si="22"/>
        <v>220919</v>
      </c>
      <c r="AP25" s="274">
        <f t="shared" si="9"/>
        <v>567497</v>
      </c>
    </row>
    <row r="26" spans="1:42" ht="15" customHeight="1" x14ac:dyDescent="0.2">
      <c r="A26" s="276">
        <v>20</v>
      </c>
      <c r="B26" s="277">
        <v>20</v>
      </c>
      <c r="C26" s="278" t="s">
        <v>150</v>
      </c>
      <c r="D26" s="279">
        <f>VLOOKUP(A26,[2]Template!$A$3:$G$133,7,FALSE)</f>
        <v>8</v>
      </c>
      <c r="E26" s="280">
        <f t="shared" si="1"/>
        <v>168000</v>
      </c>
      <c r="F26" s="279"/>
      <c r="G26" s="281">
        <f t="shared" si="10"/>
        <v>0</v>
      </c>
      <c r="H26" s="279"/>
      <c r="I26" s="281">
        <f t="shared" si="11"/>
        <v>0</v>
      </c>
      <c r="J26" s="282">
        <f t="shared" si="2"/>
        <v>0</v>
      </c>
      <c r="K26" s="283"/>
      <c r="L26" s="284">
        <f>VLOOKUP($A26,'[3]21-22_4_Level 4'!$A$7:$F$139,6,FALSE)</f>
        <v>176954</v>
      </c>
      <c r="M26" s="285"/>
      <c r="N26" s="279">
        <f>VLOOKUP($A26,'[4]Feb MFP_SCA'!$B$4:$K$124,10,FALSE)</f>
        <v>2434</v>
      </c>
      <c r="O26" s="286">
        <f t="shared" si="12"/>
        <v>143606</v>
      </c>
      <c r="P26" s="281"/>
      <c r="Q26" s="286">
        <f t="shared" si="13"/>
        <v>143606</v>
      </c>
      <c r="R26" s="287">
        <f>VLOOKUP($A26,[5]MFP!$A$7:$E$139,4,FALSE)</f>
        <v>478.76494766997399</v>
      </c>
      <c r="S26" s="288">
        <f t="shared" si="3"/>
        <v>478765</v>
      </c>
      <c r="T26" s="288">
        <f t="shared" si="4"/>
        <v>120649</v>
      </c>
      <c r="U26" s="288">
        <f t="shared" si="14"/>
        <v>599414</v>
      </c>
      <c r="V26" s="287">
        <f>VLOOKUP($A26,[5]MFP!$A$7:$E$139,5,FALSE)</f>
        <v>266</v>
      </c>
      <c r="W26" s="288">
        <f t="shared" si="5"/>
        <v>133000</v>
      </c>
      <c r="X26" s="288">
        <f t="shared" si="6"/>
        <v>38171</v>
      </c>
      <c r="Y26" s="288">
        <f t="shared" si="15"/>
        <v>171171</v>
      </c>
      <c r="Z26" s="287">
        <f t="shared" si="7"/>
        <v>744.76494766997394</v>
      </c>
      <c r="AA26" s="288">
        <f t="shared" si="7"/>
        <v>611765</v>
      </c>
      <c r="AB26" s="288">
        <f t="shared" si="7"/>
        <v>158820</v>
      </c>
      <c r="AC26" s="289">
        <f t="shared" si="7"/>
        <v>770585</v>
      </c>
      <c r="AD26" s="287">
        <f>VLOOKUP($A26,[5]MFP!$A$7:$E$139,4,FALSE)</f>
        <v>478.76494766997399</v>
      </c>
      <c r="AE26" s="288">
        <f t="shared" si="16"/>
        <v>383012</v>
      </c>
      <c r="AF26" s="288">
        <f t="shared" si="17"/>
        <v>96519</v>
      </c>
      <c r="AG26" s="288">
        <f t="shared" si="18"/>
        <v>479531</v>
      </c>
      <c r="AH26" s="287">
        <f>VLOOKUP($A26,[5]MFP!$A$7:$E$139,5,FALSE)</f>
        <v>266</v>
      </c>
      <c r="AI26" s="288">
        <f t="shared" si="19"/>
        <v>106400</v>
      </c>
      <c r="AJ26" s="288">
        <f t="shared" si="20"/>
        <v>30537</v>
      </c>
      <c r="AK26" s="288">
        <f t="shared" si="21"/>
        <v>136937</v>
      </c>
      <c r="AL26" s="287">
        <f t="shared" si="22"/>
        <v>744.76494766997394</v>
      </c>
      <c r="AM26" s="288">
        <f t="shared" si="22"/>
        <v>489412</v>
      </c>
      <c r="AN26" s="288">
        <f t="shared" si="22"/>
        <v>127056</v>
      </c>
      <c r="AO26" s="290">
        <f t="shared" si="22"/>
        <v>616468</v>
      </c>
      <c r="AP26" s="291">
        <f t="shared" si="9"/>
        <v>1875613</v>
      </c>
    </row>
    <row r="27" spans="1:42" ht="15" customHeight="1" x14ac:dyDescent="0.2">
      <c r="A27" s="243">
        <v>21</v>
      </c>
      <c r="B27" s="244">
        <v>21</v>
      </c>
      <c r="C27" s="245" t="s">
        <v>151</v>
      </c>
      <c r="D27" s="246">
        <f>VLOOKUP(A27,[2]Template!$A$3:$G$133,7,FALSE)</f>
        <v>0</v>
      </c>
      <c r="E27" s="247">
        <f t="shared" si="1"/>
        <v>0</v>
      </c>
      <c r="F27" s="246"/>
      <c r="G27" s="248">
        <f t="shared" si="10"/>
        <v>0</v>
      </c>
      <c r="H27" s="246"/>
      <c r="I27" s="248">
        <f t="shared" si="11"/>
        <v>0</v>
      </c>
      <c r="J27" s="249">
        <f t="shared" si="2"/>
        <v>0</v>
      </c>
      <c r="K27" s="250"/>
      <c r="L27" s="251">
        <f>VLOOKUP($A27,'[3]21-22_4_Level 4'!$A$7:$F$139,6,FALSE)</f>
        <v>25000</v>
      </c>
      <c r="M27" s="252"/>
      <c r="N27" s="246">
        <f>VLOOKUP($A27,'[4]Feb MFP_SCA'!$B$4:$K$124,10,FALSE)</f>
        <v>1230</v>
      </c>
      <c r="O27" s="253">
        <f t="shared" si="12"/>
        <v>72570</v>
      </c>
      <c r="P27" s="248"/>
      <c r="Q27" s="253">
        <f t="shared" si="13"/>
        <v>72570</v>
      </c>
      <c r="R27" s="254">
        <f>VLOOKUP($A27,[5]MFP!$A$7:$E$139,4,FALSE)</f>
        <v>248.59626906330703</v>
      </c>
      <c r="S27" s="255">
        <f t="shared" si="3"/>
        <v>248596</v>
      </c>
      <c r="T27" s="255">
        <f t="shared" si="4"/>
        <v>62646</v>
      </c>
      <c r="U27" s="255">
        <f t="shared" si="14"/>
        <v>311242</v>
      </c>
      <c r="V27" s="254">
        <f>VLOOKUP($A27,[5]MFP!$A$7:$E$139,5,FALSE)</f>
        <v>207.54718547543197</v>
      </c>
      <c r="W27" s="255">
        <f t="shared" si="5"/>
        <v>103774</v>
      </c>
      <c r="X27" s="255">
        <f t="shared" si="6"/>
        <v>29783</v>
      </c>
      <c r="Y27" s="255">
        <f t="shared" si="15"/>
        <v>133557</v>
      </c>
      <c r="Z27" s="254">
        <f t="shared" si="7"/>
        <v>456.14345453873898</v>
      </c>
      <c r="AA27" s="255">
        <f t="shared" si="7"/>
        <v>352370</v>
      </c>
      <c r="AB27" s="255">
        <f t="shared" si="7"/>
        <v>92429</v>
      </c>
      <c r="AC27" s="256">
        <f t="shared" si="7"/>
        <v>444799</v>
      </c>
      <c r="AD27" s="254">
        <f>VLOOKUP($A27,[5]MFP!$A$7:$E$139,4,FALSE)</f>
        <v>248.59626906330703</v>
      </c>
      <c r="AE27" s="255">
        <f t="shared" si="16"/>
        <v>198877</v>
      </c>
      <c r="AF27" s="255">
        <f t="shared" si="17"/>
        <v>50117</v>
      </c>
      <c r="AG27" s="255">
        <f t="shared" si="18"/>
        <v>248994</v>
      </c>
      <c r="AH27" s="254">
        <f>VLOOKUP($A27,[5]MFP!$A$7:$E$139,5,FALSE)</f>
        <v>207.54718547543197</v>
      </c>
      <c r="AI27" s="255">
        <f t="shared" si="19"/>
        <v>83019</v>
      </c>
      <c r="AJ27" s="255">
        <f t="shared" si="20"/>
        <v>23826</v>
      </c>
      <c r="AK27" s="255">
        <f t="shared" si="21"/>
        <v>106845</v>
      </c>
      <c r="AL27" s="254">
        <f t="shared" si="22"/>
        <v>456.14345453873898</v>
      </c>
      <c r="AM27" s="255">
        <f t="shared" si="22"/>
        <v>281896</v>
      </c>
      <c r="AN27" s="255">
        <f t="shared" si="22"/>
        <v>73943</v>
      </c>
      <c r="AO27" s="257">
        <f t="shared" si="22"/>
        <v>355839</v>
      </c>
      <c r="AP27" s="258">
        <f t="shared" si="9"/>
        <v>898208</v>
      </c>
    </row>
    <row r="28" spans="1:42" ht="15" customHeight="1" x14ac:dyDescent="0.2">
      <c r="A28" s="275">
        <v>22</v>
      </c>
      <c r="B28" s="260">
        <v>22</v>
      </c>
      <c r="C28" s="261" t="s">
        <v>152</v>
      </c>
      <c r="D28" s="262">
        <f>VLOOKUP(A28,[2]Template!$A$3:$G$133,7,FALSE)</f>
        <v>0</v>
      </c>
      <c r="E28" s="263">
        <f t="shared" si="1"/>
        <v>0</v>
      </c>
      <c r="F28" s="262"/>
      <c r="G28" s="264">
        <f t="shared" si="10"/>
        <v>0</v>
      </c>
      <c r="H28" s="262"/>
      <c r="I28" s="264">
        <f t="shared" si="11"/>
        <v>0</v>
      </c>
      <c r="J28" s="265">
        <f t="shared" si="2"/>
        <v>0</v>
      </c>
      <c r="K28" s="266"/>
      <c r="L28" s="267">
        <f>VLOOKUP($A28,'[3]21-22_4_Level 4'!$A$7:$F$139,6,FALSE)</f>
        <v>85856</v>
      </c>
      <c r="M28" s="268"/>
      <c r="N28" s="262">
        <f>VLOOKUP($A28,'[4]Feb MFP_SCA'!$B$4:$K$124,10,FALSE)</f>
        <v>1278</v>
      </c>
      <c r="O28" s="269">
        <f t="shared" si="12"/>
        <v>75402</v>
      </c>
      <c r="P28" s="264"/>
      <c r="Q28" s="269">
        <f t="shared" si="13"/>
        <v>75402</v>
      </c>
      <c r="R28" s="270">
        <f>VLOOKUP($A28,[5]MFP!$A$7:$E$139,4,FALSE)</f>
        <v>257.33290315897301</v>
      </c>
      <c r="S28" s="271">
        <f t="shared" si="3"/>
        <v>257333</v>
      </c>
      <c r="T28" s="271">
        <f t="shared" si="4"/>
        <v>64848</v>
      </c>
      <c r="U28" s="271">
        <f t="shared" si="14"/>
        <v>322181</v>
      </c>
      <c r="V28" s="270">
        <f>VLOOKUP($A28,[5]MFP!$A$7:$E$139,5,FALSE)</f>
        <v>155.98567209098701</v>
      </c>
      <c r="W28" s="271">
        <f t="shared" si="5"/>
        <v>77993</v>
      </c>
      <c r="X28" s="271">
        <f t="shared" si="6"/>
        <v>22384</v>
      </c>
      <c r="Y28" s="271">
        <f t="shared" si="15"/>
        <v>100377</v>
      </c>
      <c r="Z28" s="270">
        <f t="shared" si="7"/>
        <v>413.31857524996002</v>
      </c>
      <c r="AA28" s="271">
        <f t="shared" si="7"/>
        <v>335326</v>
      </c>
      <c r="AB28" s="271">
        <f t="shared" si="7"/>
        <v>87232</v>
      </c>
      <c r="AC28" s="272">
        <f t="shared" si="7"/>
        <v>422558</v>
      </c>
      <c r="AD28" s="270">
        <f>VLOOKUP($A28,[5]MFP!$A$7:$E$139,4,FALSE)</f>
        <v>257.33290315897301</v>
      </c>
      <c r="AE28" s="271">
        <f t="shared" si="16"/>
        <v>205866</v>
      </c>
      <c r="AF28" s="271">
        <f t="shared" si="17"/>
        <v>51878</v>
      </c>
      <c r="AG28" s="271">
        <f t="shared" si="18"/>
        <v>257744</v>
      </c>
      <c r="AH28" s="270">
        <f>VLOOKUP($A28,[5]MFP!$A$7:$E$139,5,FALSE)</f>
        <v>155.98567209098701</v>
      </c>
      <c r="AI28" s="271">
        <f t="shared" si="19"/>
        <v>62394</v>
      </c>
      <c r="AJ28" s="271">
        <f t="shared" si="20"/>
        <v>17907</v>
      </c>
      <c r="AK28" s="271">
        <f t="shared" si="21"/>
        <v>80301</v>
      </c>
      <c r="AL28" s="270">
        <f t="shared" si="22"/>
        <v>413.31857524996002</v>
      </c>
      <c r="AM28" s="271">
        <f t="shared" si="22"/>
        <v>268260</v>
      </c>
      <c r="AN28" s="271">
        <f t="shared" si="22"/>
        <v>69785</v>
      </c>
      <c r="AO28" s="273">
        <f t="shared" si="22"/>
        <v>338045</v>
      </c>
      <c r="AP28" s="274">
        <f t="shared" si="9"/>
        <v>921861</v>
      </c>
    </row>
    <row r="29" spans="1:42" ht="15" customHeight="1" x14ac:dyDescent="0.2">
      <c r="A29" s="275">
        <v>23</v>
      </c>
      <c r="B29" s="260">
        <v>23</v>
      </c>
      <c r="C29" s="261" t="s">
        <v>153</v>
      </c>
      <c r="D29" s="262">
        <f>VLOOKUP(A29,[2]Template!$A$3:$G$133,7,FALSE)</f>
        <v>10</v>
      </c>
      <c r="E29" s="263">
        <f t="shared" si="1"/>
        <v>210000</v>
      </c>
      <c r="F29" s="262"/>
      <c r="G29" s="264">
        <f t="shared" si="10"/>
        <v>0</v>
      </c>
      <c r="H29" s="262"/>
      <c r="I29" s="264">
        <f t="shared" si="11"/>
        <v>0</v>
      </c>
      <c r="J29" s="265">
        <f t="shared" si="2"/>
        <v>0</v>
      </c>
      <c r="K29" s="266"/>
      <c r="L29" s="267">
        <f>VLOOKUP($A29,'[3]21-22_4_Level 4'!$A$7:$F$139,6,FALSE)</f>
        <v>314505</v>
      </c>
      <c r="M29" s="268"/>
      <c r="N29" s="262">
        <f>VLOOKUP($A29,'[4]Feb MFP_SCA'!$B$4:$K$124,10,FALSE)</f>
        <v>5111</v>
      </c>
      <c r="O29" s="269">
        <f t="shared" si="12"/>
        <v>301549</v>
      </c>
      <c r="P29" s="264"/>
      <c r="Q29" s="269">
        <f t="shared" si="13"/>
        <v>301549</v>
      </c>
      <c r="R29" s="270">
        <f>VLOOKUP($A29,[5]MFP!$A$7:$E$139,4,FALSE)</f>
        <v>1024.1019613709641</v>
      </c>
      <c r="S29" s="271">
        <f t="shared" si="3"/>
        <v>1024102</v>
      </c>
      <c r="T29" s="271">
        <f t="shared" si="4"/>
        <v>258074</v>
      </c>
      <c r="U29" s="271">
        <f t="shared" si="14"/>
        <v>1282176</v>
      </c>
      <c r="V29" s="270">
        <f>VLOOKUP($A29,[5]MFP!$A$7:$E$139,5,FALSE)</f>
        <v>585.65909090900004</v>
      </c>
      <c r="W29" s="271">
        <f t="shared" si="5"/>
        <v>292830</v>
      </c>
      <c r="X29" s="271">
        <f t="shared" si="6"/>
        <v>84042</v>
      </c>
      <c r="Y29" s="271">
        <f t="shared" si="15"/>
        <v>376872</v>
      </c>
      <c r="Z29" s="270">
        <f t="shared" si="7"/>
        <v>1609.7610522799641</v>
      </c>
      <c r="AA29" s="271">
        <f t="shared" si="7"/>
        <v>1316932</v>
      </c>
      <c r="AB29" s="271">
        <f t="shared" si="7"/>
        <v>342116</v>
      </c>
      <c r="AC29" s="272">
        <f t="shared" si="7"/>
        <v>1659048</v>
      </c>
      <c r="AD29" s="270">
        <f>VLOOKUP($A29,[5]MFP!$A$7:$E$139,4,FALSE)</f>
        <v>1024.1019613709641</v>
      </c>
      <c r="AE29" s="271">
        <f t="shared" si="16"/>
        <v>819282</v>
      </c>
      <c r="AF29" s="271">
        <f t="shared" si="17"/>
        <v>206459</v>
      </c>
      <c r="AG29" s="271">
        <f t="shared" si="18"/>
        <v>1025741</v>
      </c>
      <c r="AH29" s="270">
        <f>VLOOKUP($A29,[5]MFP!$A$7:$E$139,5,FALSE)</f>
        <v>585.65909090900004</v>
      </c>
      <c r="AI29" s="271">
        <f t="shared" si="19"/>
        <v>234264</v>
      </c>
      <c r="AJ29" s="271">
        <f t="shared" si="20"/>
        <v>67234</v>
      </c>
      <c r="AK29" s="271">
        <f t="shared" si="21"/>
        <v>301498</v>
      </c>
      <c r="AL29" s="270">
        <f t="shared" si="22"/>
        <v>1609.7610522799641</v>
      </c>
      <c r="AM29" s="271">
        <f t="shared" si="22"/>
        <v>1053546</v>
      </c>
      <c r="AN29" s="271">
        <f t="shared" si="22"/>
        <v>273693</v>
      </c>
      <c r="AO29" s="273">
        <f t="shared" si="22"/>
        <v>1327239</v>
      </c>
      <c r="AP29" s="274">
        <f t="shared" si="9"/>
        <v>3812341</v>
      </c>
    </row>
    <row r="30" spans="1:42" ht="15" customHeight="1" x14ac:dyDescent="0.2">
      <c r="A30" s="275">
        <v>24</v>
      </c>
      <c r="B30" s="260">
        <v>24</v>
      </c>
      <c r="C30" s="261" t="s">
        <v>154</v>
      </c>
      <c r="D30" s="262">
        <f>VLOOKUP(A30,[2]Template!$A$3:$G$133,7,FALSE)</f>
        <v>0</v>
      </c>
      <c r="E30" s="263">
        <f t="shared" si="1"/>
        <v>0</v>
      </c>
      <c r="F30" s="262"/>
      <c r="G30" s="264">
        <f t="shared" si="10"/>
        <v>0</v>
      </c>
      <c r="H30" s="262"/>
      <c r="I30" s="264">
        <f t="shared" si="11"/>
        <v>0</v>
      </c>
      <c r="J30" s="265">
        <f t="shared" si="2"/>
        <v>0</v>
      </c>
      <c r="K30" s="266"/>
      <c r="L30" s="267">
        <f>VLOOKUP($A30,'[3]21-22_4_Level 4'!$A$7:$F$139,6,FALSE)</f>
        <v>102124</v>
      </c>
      <c r="M30" s="268"/>
      <c r="N30" s="262">
        <f>VLOOKUP($A30,'[4]Feb MFP_SCA'!$B$4:$K$124,10,FALSE)</f>
        <v>1878</v>
      </c>
      <c r="O30" s="269">
        <f t="shared" si="12"/>
        <v>110802</v>
      </c>
      <c r="P30" s="264"/>
      <c r="Q30" s="269">
        <f t="shared" si="13"/>
        <v>110802</v>
      </c>
      <c r="R30" s="270">
        <f>VLOOKUP($A30,[5]MFP!$A$7:$E$139,4,FALSE)</f>
        <v>452.70643641999999</v>
      </c>
      <c r="S30" s="271">
        <f t="shared" si="3"/>
        <v>452706</v>
      </c>
      <c r="T30" s="271">
        <f t="shared" si="4"/>
        <v>114082</v>
      </c>
      <c r="U30" s="271">
        <f t="shared" si="14"/>
        <v>566788</v>
      </c>
      <c r="V30" s="270">
        <f>VLOOKUP($A30,[5]MFP!$A$7:$E$139,5,FALSE)</f>
        <v>338</v>
      </c>
      <c r="W30" s="271">
        <f t="shared" si="5"/>
        <v>169000</v>
      </c>
      <c r="X30" s="271">
        <f t="shared" si="6"/>
        <v>48503</v>
      </c>
      <c r="Y30" s="271">
        <f t="shared" si="15"/>
        <v>217503</v>
      </c>
      <c r="Z30" s="270">
        <f t="shared" si="7"/>
        <v>790.70643642000005</v>
      </c>
      <c r="AA30" s="271">
        <f t="shared" si="7"/>
        <v>621706</v>
      </c>
      <c r="AB30" s="271">
        <f t="shared" si="7"/>
        <v>162585</v>
      </c>
      <c r="AC30" s="272">
        <f t="shared" si="7"/>
        <v>784291</v>
      </c>
      <c r="AD30" s="270">
        <f>VLOOKUP($A30,[5]MFP!$A$7:$E$139,4,FALSE)</f>
        <v>452.70643641999999</v>
      </c>
      <c r="AE30" s="271">
        <f t="shared" si="16"/>
        <v>362165</v>
      </c>
      <c r="AF30" s="271">
        <f t="shared" si="17"/>
        <v>91266</v>
      </c>
      <c r="AG30" s="271">
        <f t="shared" si="18"/>
        <v>453431</v>
      </c>
      <c r="AH30" s="270">
        <f>VLOOKUP($A30,[5]MFP!$A$7:$E$139,5,FALSE)</f>
        <v>338</v>
      </c>
      <c r="AI30" s="271">
        <f t="shared" si="19"/>
        <v>135200</v>
      </c>
      <c r="AJ30" s="271">
        <f t="shared" si="20"/>
        <v>38802</v>
      </c>
      <c r="AK30" s="271">
        <f t="shared" si="21"/>
        <v>174002</v>
      </c>
      <c r="AL30" s="270">
        <f t="shared" si="22"/>
        <v>790.70643642000005</v>
      </c>
      <c r="AM30" s="271">
        <f t="shared" si="22"/>
        <v>497365</v>
      </c>
      <c r="AN30" s="271">
        <f t="shared" si="22"/>
        <v>130068</v>
      </c>
      <c r="AO30" s="273">
        <f t="shared" si="22"/>
        <v>627433</v>
      </c>
      <c r="AP30" s="274">
        <f t="shared" si="9"/>
        <v>1624650</v>
      </c>
    </row>
    <row r="31" spans="1:42" ht="15" customHeight="1" x14ac:dyDescent="0.2">
      <c r="A31" s="276">
        <v>25</v>
      </c>
      <c r="B31" s="277">
        <v>25</v>
      </c>
      <c r="C31" s="278" t="s">
        <v>155</v>
      </c>
      <c r="D31" s="279">
        <f>VLOOKUP(A31,[2]Template!$A$3:$G$133,7,FALSE)</f>
        <v>0</v>
      </c>
      <c r="E31" s="280">
        <f t="shared" si="1"/>
        <v>0</v>
      </c>
      <c r="F31" s="279"/>
      <c r="G31" s="281">
        <f t="shared" si="10"/>
        <v>0</v>
      </c>
      <c r="H31" s="279"/>
      <c r="I31" s="281">
        <f t="shared" si="11"/>
        <v>0</v>
      </c>
      <c r="J31" s="282">
        <f t="shared" si="2"/>
        <v>0</v>
      </c>
      <c r="K31" s="283"/>
      <c r="L31" s="284">
        <f>VLOOKUP($A31,'[3]21-22_4_Level 4'!$A$7:$F$139,6,FALSE)</f>
        <v>62720</v>
      </c>
      <c r="M31" s="285"/>
      <c r="N31" s="279">
        <f>VLOOKUP($A31,'[4]Feb MFP_SCA'!$B$4:$K$124,10,FALSE)</f>
        <v>961</v>
      </c>
      <c r="O31" s="286">
        <f t="shared" si="12"/>
        <v>56699</v>
      </c>
      <c r="P31" s="281"/>
      <c r="Q31" s="286">
        <f t="shared" si="13"/>
        <v>56699</v>
      </c>
      <c r="R31" s="287">
        <f>VLOOKUP($A31,[5]MFP!$A$7:$E$139,4,FALSE)</f>
        <v>198.04819327727</v>
      </c>
      <c r="S31" s="288">
        <f t="shared" si="3"/>
        <v>198048</v>
      </c>
      <c r="T31" s="288">
        <f t="shared" si="4"/>
        <v>49908</v>
      </c>
      <c r="U31" s="288">
        <f t="shared" si="14"/>
        <v>247956</v>
      </c>
      <c r="V31" s="287">
        <f>VLOOKUP($A31,[5]MFP!$A$7:$E$139,5,FALSE)</f>
        <v>135.99999999999901</v>
      </c>
      <c r="W31" s="288">
        <f t="shared" si="5"/>
        <v>68000</v>
      </c>
      <c r="X31" s="288">
        <f t="shared" si="6"/>
        <v>19516</v>
      </c>
      <c r="Y31" s="288">
        <f t="shared" si="15"/>
        <v>87516</v>
      </c>
      <c r="Z31" s="287">
        <f t="shared" si="7"/>
        <v>334.04819327726898</v>
      </c>
      <c r="AA31" s="288">
        <f t="shared" si="7"/>
        <v>266048</v>
      </c>
      <c r="AB31" s="288">
        <f t="shared" si="7"/>
        <v>69424</v>
      </c>
      <c r="AC31" s="289">
        <f t="shared" si="7"/>
        <v>335472</v>
      </c>
      <c r="AD31" s="287">
        <f>VLOOKUP($A31,[5]MFP!$A$7:$E$139,4,FALSE)</f>
        <v>198.04819327727</v>
      </c>
      <c r="AE31" s="288">
        <f t="shared" si="16"/>
        <v>158439</v>
      </c>
      <c r="AF31" s="288">
        <f t="shared" si="17"/>
        <v>39927</v>
      </c>
      <c r="AG31" s="288">
        <f t="shared" si="18"/>
        <v>198366</v>
      </c>
      <c r="AH31" s="287">
        <f>VLOOKUP($A31,[5]MFP!$A$7:$E$139,5,FALSE)</f>
        <v>135.99999999999901</v>
      </c>
      <c r="AI31" s="288">
        <f t="shared" si="19"/>
        <v>54400</v>
      </c>
      <c r="AJ31" s="288">
        <f t="shared" si="20"/>
        <v>15613</v>
      </c>
      <c r="AK31" s="288">
        <f t="shared" si="21"/>
        <v>70013</v>
      </c>
      <c r="AL31" s="287">
        <f t="shared" si="22"/>
        <v>334.04819327726898</v>
      </c>
      <c r="AM31" s="288">
        <f t="shared" si="22"/>
        <v>212839</v>
      </c>
      <c r="AN31" s="288">
        <f t="shared" si="22"/>
        <v>55540</v>
      </c>
      <c r="AO31" s="290">
        <f t="shared" si="22"/>
        <v>268379</v>
      </c>
      <c r="AP31" s="291">
        <f t="shared" si="9"/>
        <v>723270</v>
      </c>
    </row>
    <row r="32" spans="1:42" ht="15" customHeight="1" x14ac:dyDescent="0.2">
      <c r="A32" s="243">
        <v>26</v>
      </c>
      <c r="B32" s="244">
        <v>26</v>
      </c>
      <c r="C32" s="245" t="s">
        <v>156</v>
      </c>
      <c r="D32" s="246">
        <f>VLOOKUP(A32,[2]Template!$A$3:$G$133,7,FALSE)</f>
        <v>17</v>
      </c>
      <c r="E32" s="247">
        <f t="shared" si="1"/>
        <v>357000</v>
      </c>
      <c r="F32" s="246"/>
      <c r="G32" s="248">
        <f t="shared" si="10"/>
        <v>0</v>
      </c>
      <c r="H32" s="246"/>
      <c r="I32" s="248">
        <f t="shared" si="11"/>
        <v>0</v>
      </c>
      <c r="J32" s="249">
        <f t="shared" si="2"/>
        <v>0</v>
      </c>
      <c r="K32" s="250"/>
      <c r="L32" s="251">
        <f>VLOOKUP($A32,'[3]21-22_4_Level 4'!$A$7:$F$139,6,FALSE)</f>
        <v>952010</v>
      </c>
      <c r="M32" s="252"/>
      <c r="N32" s="246">
        <f>VLOOKUP($A32,'[4]Feb MFP_SCA'!$B$4:$K$124,10,FALSE)</f>
        <v>20129</v>
      </c>
      <c r="O32" s="253">
        <f t="shared" si="12"/>
        <v>1187611</v>
      </c>
      <c r="P32" s="248"/>
      <c r="Q32" s="253">
        <f t="shared" si="13"/>
        <v>1187611</v>
      </c>
      <c r="R32" s="254">
        <f>VLOOKUP($A32,[5]MFP!$A$7:$E$139,4,FALSE)</f>
        <v>4133.4338612675547</v>
      </c>
      <c r="S32" s="255">
        <f t="shared" si="3"/>
        <v>4133434</v>
      </c>
      <c r="T32" s="255">
        <f t="shared" si="4"/>
        <v>1041625</v>
      </c>
      <c r="U32" s="255">
        <f t="shared" si="14"/>
        <v>5175059</v>
      </c>
      <c r="V32" s="254">
        <f>VLOOKUP($A32,[5]MFP!$A$7:$E$139,5,FALSE)</f>
        <v>2281.1678267757648</v>
      </c>
      <c r="W32" s="255">
        <f t="shared" si="5"/>
        <v>1140584</v>
      </c>
      <c r="X32" s="255">
        <f t="shared" si="6"/>
        <v>327348</v>
      </c>
      <c r="Y32" s="255">
        <f t="shared" si="15"/>
        <v>1467932</v>
      </c>
      <c r="Z32" s="254">
        <f t="shared" si="7"/>
        <v>6414.6016880433199</v>
      </c>
      <c r="AA32" s="255">
        <f t="shared" si="7"/>
        <v>5274018</v>
      </c>
      <c r="AB32" s="255">
        <f t="shared" si="7"/>
        <v>1368973</v>
      </c>
      <c r="AC32" s="256">
        <f t="shared" si="7"/>
        <v>6642991</v>
      </c>
      <c r="AD32" s="254">
        <f>VLOOKUP($A32,[5]MFP!$A$7:$E$139,4,FALSE)</f>
        <v>4133.4338612675547</v>
      </c>
      <c r="AE32" s="255">
        <f t="shared" si="16"/>
        <v>3306747</v>
      </c>
      <c r="AF32" s="255">
        <f t="shared" si="17"/>
        <v>833300</v>
      </c>
      <c r="AG32" s="255">
        <f t="shared" si="18"/>
        <v>4140047</v>
      </c>
      <c r="AH32" s="254">
        <f>VLOOKUP($A32,[5]MFP!$A$7:$E$139,5,FALSE)</f>
        <v>2281.1678267757648</v>
      </c>
      <c r="AI32" s="255">
        <f t="shared" si="19"/>
        <v>912467</v>
      </c>
      <c r="AJ32" s="255">
        <f t="shared" si="20"/>
        <v>261878</v>
      </c>
      <c r="AK32" s="255">
        <f t="shared" si="21"/>
        <v>1174345</v>
      </c>
      <c r="AL32" s="254">
        <f t="shared" si="22"/>
        <v>6414.6016880433199</v>
      </c>
      <c r="AM32" s="255">
        <f t="shared" si="22"/>
        <v>4219214</v>
      </c>
      <c r="AN32" s="255">
        <f t="shared" si="22"/>
        <v>1095178</v>
      </c>
      <c r="AO32" s="257">
        <f t="shared" si="22"/>
        <v>5314392</v>
      </c>
      <c r="AP32" s="258">
        <f t="shared" si="9"/>
        <v>14454004</v>
      </c>
    </row>
    <row r="33" spans="1:42" ht="15" customHeight="1" x14ac:dyDescent="0.2">
      <c r="A33" s="275">
        <v>27</v>
      </c>
      <c r="B33" s="260">
        <v>27</v>
      </c>
      <c r="C33" s="261" t="s">
        <v>157</v>
      </c>
      <c r="D33" s="262">
        <f>VLOOKUP(A33,[2]Template!$A$3:$G$133,7,FALSE)</f>
        <v>0</v>
      </c>
      <c r="E33" s="263">
        <f t="shared" si="1"/>
        <v>0</v>
      </c>
      <c r="F33" s="262"/>
      <c r="G33" s="264">
        <f t="shared" si="10"/>
        <v>0</v>
      </c>
      <c r="H33" s="262"/>
      <c r="I33" s="264">
        <f t="shared" si="11"/>
        <v>0</v>
      </c>
      <c r="J33" s="265">
        <f t="shared" si="2"/>
        <v>0</v>
      </c>
      <c r="K33" s="266"/>
      <c r="L33" s="267">
        <f>VLOOKUP($A33,'[3]21-22_4_Level 4'!$A$7:$F$139,6,FALSE)</f>
        <v>117488</v>
      </c>
      <c r="M33" s="268"/>
      <c r="N33" s="262">
        <f>VLOOKUP($A33,'[4]Feb MFP_SCA'!$B$4:$K$124,10,FALSE)</f>
        <v>2495</v>
      </c>
      <c r="O33" s="269">
        <f t="shared" si="12"/>
        <v>147205</v>
      </c>
      <c r="P33" s="264"/>
      <c r="Q33" s="269">
        <f t="shared" si="13"/>
        <v>147205</v>
      </c>
      <c r="R33" s="270">
        <f>VLOOKUP($A33,[5]MFP!$A$7:$E$139,4,FALSE)</f>
        <v>440.59167501898696</v>
      </c>
      <c r="S33" s="271">
        <f t="shared" si="3"/>
        <v>440592</v>
      </c>
      <c r="T33" s="271">
        <f t="shared" si="4"/>
        <v>111029</v>
      </c>
      <c r="U33" s="271">
        <f t="shared" si="14"/>
        <v>551621</v>
      </c>
      <c r="V33" s="270">
        <f>VLOOKUP($A33,[5]MFP!$A$7:$E$139,5,FALSE)</f>
        <v>323.17206697499802</v>
      </c>
      <c r="W33" s="271">
        <f t="shared" si="5"/>
        <v>161586</v>
      </c>
      <c r="X33" s="271">
        <f t="shared" si="6"/>
        <v>46375</v>
      </c>
      <c r="Y33" s="271">
        <f t="shared" si="15"/>
        <v>207961</v>
      </c>
      <c r="Z33" s="270">
        <f t="shared" si="7"/>
        <v>763.76374199398492</v>
      </c>
      <c r="AA33" s="271">
        <f t="shared" si="7"/>
        <v>602178</v>
      </c>
      <c r="AB33" s="271">
        <f t="shared" si="7"/>
        <v>157404</v>
      </c>
      <c r="AC33" s="272">
        <f t="shared" si="7"/>
        <v>759582</v>
      </c>
      <c r="AD33" s="270">
        <f>VLOOKUP($A33,[5]MFP!$A$7:$E$139,4,FALSE)</f>
        <v>440.59167501898696</v>
      </c>
      <c r="AE33" s="271">
        <f t="shared" si="16"/>
        <v>352473</v>
      </c>
      <c r="AF33" s="271">
        <f t="shared" si="17"/>
        <v>88823</v>
      </c>
      <c r="AG33" s="271">
        <f t="shared" si="18"/>
        <v>441296</v>
      </c>
      <c r="AH33" s="270">
        <f>VLOOKUP($A33,[5]MFP!$A$7:$E$139,5,FALSE)</f>
        <v>323.17206697499802</v>
      </c>
      <c r="AI33" s="271">
        <f t="shared" si="19"/>
        <v>129269</v>
      </c>
      <c r="AJ33" s="271">
        <f t="shared" si="20"/>
        <v>37100</v>
      </c>
      <c r="AK33" s="271">
        <f t="shared" si="21"/>
        <v>166369</v>
      </c>
      <c r="AL33" s="270">
        <f t="shared" si="22"/>
        <v>763.76374199398492</v>
      </c>
      <c r="AM33" s="271">
        <f t="shared" si="22"/>
        <v>481742</v>
      </c>
      <c r="AN33" s="271">
        <f t="shared" si="22"/>
        <v>125923</v>
      </c>
      <c r="AO33" s="273">
        <f t="shared" si="22"/>
        <v>607665</v>
      </c>
      <c r="AP33" s="274">
        <f t="shared" si="9"/>
        <v>1631940</v>
      </c>
    </row>
    <row r="34" spans="1:42" ht="15" customHeight="1" x14ac:dyDescent="0.2">
      <c r="A34" s="275">
        <v>28</v>
      </c>
      <c r="B34" s="260">
        <v>28</v>
      </c>
      <c r="C34" s="261" t="s">
        <v>158</v>
      </c>
      <c r="D34" s="262">
        <f>VLOOKUP(A34,[2]Template!$A$3:$G$133,7,FALSE)</f>
        <v>26</v>
      </c>
      <c r="E34" s="263">
        <f t="shared" si="1"/>
        <v>546000</v>
      </c>
      <c r="F34" s="262"/>
      <c r="G34" s="264">
        <f t="shared" si="10"/>
        <v>0</v>
      </c>
      <c r="H34" s="262"/>
      <c r="I34" s="264">
        <f t="shared" si="11"/>
        <v>0</v>
      </c>
      <c r="J34" s="265">
        <f t="shared" si="2"/>
        <v>0</v>
      </c>
      <c r="K34" s="266"/>
      <c r="L34" s="267">
        <f>VLOOKUP($A34,'[3]21-22_4_Level 4'!$A$7:$F$139,6,FALSE)</f>
        <v>627745</v>
      </c>
      <c r="M34" s="268"/>
      <c r="N34" s="262">
        <f>VLOOKUP($A34,'[4]Feb MFP_SCA'!$B$4:$K$124,10,FALSE)</f>
        <v>14291</v>
      </c>
      <c r="O34" s="269">
        <f t="shared" si="12"/>
        <v>843169</v>
      </c>
      <c r="P34" s="264"/>
      <c r="Q34" s="269">
        <f t="shared" si="13"/>
        <v>843169</v>
      </c>
      <c r="R34" s="270">
        <f>VLOOKUP($A34,[5]MFP!$A$7:$E$139,4,FALSE)</f>
        <v>2456.0880559818229</v>
      </c>
      <c r="S34" s="271">
        <f t="shared" si="3"/>
        <v>2456088</v>
      </c>
      <c r="T34" s="271">
        <f t="shared" si="4"/>
        <v>618934</v>
      </c>
      <c r="U34" s="271">
        <f t="shared" si="14"/>
        <v>3075022</v>
      </c>
      <c r="V34" s="270">
        <f>VLOOKUP($A34,[5]MFP!$A$7:$E$139,5,FALSE)</f>
        <v>1810</v>
      </c>
      <c r="W34" s="271">
        <f t="shared" si="5"/>
        <v>905000</v>
      </c>
      <c r="X34" s="271">
        <f t="shared" si="6"/>
        <v>259735</v>
      </c>
      <c r="Y34" s="271">
        <f t="shared" si="15"/>
        <v>1164735</v>
      </c>
      <c r="Z34" s="270">
        <f t="shared" si="7"/>
        <v>4266.0880559818233</v>
      </c>
      <c r="AA34" s="271">
        <f t="shared" si="7"/>
        <v>3361088</v>
      </c>
      <c r="AB34" s="271">
        <f t="shared" si="7"/>
        <v>878669</v>
      </c>
      <c r="AC34" s="272">
        <f t="shared" si="7"/>
        <v>4239757</v>
      </c>
      <c r="AD34" s="270">
        <f>VLOOKUP($A34,[5]MFP!$A$7:$E$139,4,FALSE)</f>
        <v>2456.0880559818229</v>
      </c>
      <c r="AE34" s="271">
        <f t="shared" si="16"/>
        <v>1964870</v>
      </c>
      <c r="AF34" s="271">
        <f t="shared" si="17"/>
        <v>495147</v>
      </c>
      <c r="AG34" s="271">
        <f t="shared" si="18"/>
        <v>2460017</v>
      </c>
      <c r="AH34" s="270">
        <f>VLOOKUP($A34,[5]MFP!$A$7:$E$139,5,FALSE)</f>
        <v>1810</v>
      </c>
      <c r="AI34" s="271">
        <f t="shared" si="19"/>
        <v>724000</v>
      </c>
      <c r="AJ34" s="271">
        <f t="shared" si="20"/>
        <v>207788</v>
      </c>
      <c r="AK34" s="271">
        <f t="shared" si="21"/>
        <v>931788</v>
      </c>
      <c r="AL34" s="270">
        <f t="shared" si="22"/>
        <v>4266.0880559818233</v>
      </c>
      <c r="AM34" s="271">
        <f t="shared" si="22"/>
        <v>2688870</v>
      </c>
      <c r="AN34" s="271">
        <f t="shared" si="22"/>
        <v>702935</v>
      </c>
      <c r="AO34" s="273">
        <f t="shared" si="22"/>
        <v>3391805</v>
      </c>
      <c r="AP34" s="274">
        <f t="shared" si="9"/>
        <v>9648476</v>
      </c>
    </row>
    <row r="35" spans="1:42" ht="15" customHeight="1" x14ac:dyDescent="0.2">
      <c r="A35" s="275">
        <v>29</v>
      </c>
      <c r="B35" s="260">
        <v>29</v>
      </c>
      <c r="C35" s="261" t="s">
        <v>159</v>
      </c>
      <c r="D35" s="262">
        <f>VLOOKUP(A35,[2]Template!$A$3:$G$133,7,FALSE)</f>
        <v>15</v>
      </c>
      <c r="E35" s="263">
        <f t="shared" si="1"/>
        <v>315000</v>
      </c>
      <c r="F35" s="262"/>
      <c r="G35" s="264">
        <f t="shared" si="10"/>
        <v>0</v>
      </c>
      <c r="H35" s="262"/>
      <c r="I35" s="264">
        <f t="shared" si="11"/>
        <v>0</v>
      </c>
      <c r="J35" s="265">
        <f t="shared" si="2"/>
        <v>0</v>
      </c>
      <c r="K35" s="266"/>
      <c r="L35" s="267">
        <f>VLOOKUP($A35,'[3]21-22_4_Level 4'!$A$7:$F$139,6,FALSE)</f>
        <v>463262</v>
      </c>
      <c r="M35" s="268"/>
      <c r="N35" s="262">
        <f>VLOOKUP($A35,'[4]Feb MFP_SCA'!$B$4:$K$124,10,FALSE)</f>
        <v>6225</v>
      </c>
      <c r="O35" s="269">
        <f t="shared" si="12"/>
        <v>367275</v>
      </c>
      <c r="P35" s="264"/>
      <c r="Q35" s="269">
        <f t="shared" si="13"/>
        <v>367275</v>
      </c>
      <c r="R35" s="270">
        <f>VLOOKUP($A35,[5]MFP!$A$7:$E$139,4,FALSE)</f>
        <v>1093.9956956326221</v>
      </c>
      <c r="S35" s="271">
        <f t="shared" si="3"/>
        <v>1093996</v>
      </c>
      <c r="T35" s="271">
        <f t="shared" si="4"/>
        <v>275687</v>
      </c>
      <c r="U35" s="271">
        <f t="shared" si="14"/>
        <v>1369683</v>
      </c>
      <c r="V35" s="270">
        <f>VLOOKUP($A35,[5]MFP!$A$7:$E$139,5,FALSE)</f>
        <v>752.47840619986096</v>
      </c>
      <c r="W35" s="271">
        <f t="shared" si="5"/>
        <v>376239</v>
      </c>
      <c r="X35" s="271">
        <f t="shared" si="6"/>
        <v>107981</v>
      </c>
      <c r="Y35" s="271">
        <f t="shared" si="15"/>
        <v>484220</v>
      </c>
      <c r="Z35" s="270">
        <f t="shared" si="7"/>
        <v>1846.474101832483</v>
      </c>
      <c r="AA35" s="271">
        <f t="shared" si="7"/>
        <v>1470235</v>
      </c>
      <c r="AB35" s="271">
        <f t="shared" si="7"/>
        <v>383668</v>
      </c>
      <c r="AC35" s="272">
        <f t="shared" si="7"/>
        <v>1853903</v>
      </c>
      <c r="AD35" s="270">
        <f>VLOOKUP($A35,[5]MFP!$A$7:$E$139,4,FALSE)</f>
        <v>1093.9956956326221</v>
      </c>
      <c r="AE35" s="271">
        <f t="shared" si="16"/>
        <v>875197</v>
      </c>
      <c r="AF35" s="271">
        <f t="shared" si="17"/>
        <v>220550</v>
      </c>
      <c r="AG35" s="271">
        <f t="shared" si="18"/>
        <v>1095747</v>
      </c>
      <c r="AH35" s="270">
        <f>VLOOKUP($A35,[5]MFP!$A$7:$E$139,5,FALSE)</f>
        <v>752.47840619986096</v>
      </c>
      <c r="AI35" s="271">
        <f t="shared" si="19"/>
        <v>300991</v>
      </c>
      <c r="AJ35" s="271">
        <f t="shared" si="20"/>
        <v>86384</v>
      </c>
      <c r="AK35" s="271">
        <f t="shared" si="21"/>
        <v>387375</v>
      </c>
      <c r="AL35" s="270">
        <f t="shared" si="22"/>
        <v>1846.474101832483</v>
      </c>
      <c r="AM35" s="271">
        <f t="shared" si="22"/>
        <v>1176188</v>
      </c>
      <c r="AN35" s="271">
        <f t="shared" si="22"/>
        <v>306934</v>
      </c>
      <c r="AO35" s="273">
        <f t="shared" si="22"/>
        <v>1483122</v>
      </c>
      <c r="AP35" s="274">
        <f t="shared" si="9"/>
        <v>4482562</v>
      </c>
    </row>
    <row r="36" spans="1:42" ht="15" customHeight="1" x14ac:dyDescent="0.2">
      <c r="A36" s="276">
        <v>30</v>
      </c>
      <c r="B36" s="277">
        <v>30</v>
      </c>
      <c r="C36" s="278" t="s">
        <v>160</v>
      </c>
      <c r="D36" s="279">
        <f>VLOOKUP(A36,[2]Template!$A$3:$G$133,7,FALSE)</f>
        <v>0</v>
      </c>
      <c r="E36" s="280">
        <f t="shared" si="1"/>
        <v>0</v>
      </c>
      <c r="F36" s="279"/>
      <c r="G36" s="281">
        <f t="shared" si="10"/>
        <v>0</v>
      </c>
      <c r="H36" s="279"/>
      <c r="I36" s="281">
        <f t="shared" si="11"/>
        <v>0</v>
      </c>
      <c r="J36" s="282">
        <f t="shared" si="2"/>
        <v>0</v>
      </c>
      <c r="K36" s="283"/>
      <c r="L36" s="284">
        <f>VLOOKUP($A36,'[3]21-22_4_Level 4'!$A$7:$F$139,6,FALSE)</f>
        <v>58021</v>
      </c>
      <c r="M36" s="285"/>
      <c r="N36" s="279">
        <f>VLOOKUP($A36,'[4]Feb MFP_SCA'!$B$4:$K$124,10,FALSE)</f>
        <v>1104</v>
      </c>
      <c r="O36" s="286">
        <f t="shared" si="12"/>
        <v>65136</v>
      </c>
      <c r="P36" s="281"/>
      <c r="Q36" s="286">
        <f t="shared" si="13"/>
        <v>65136</v>
      </c>
      <c r="R36" s="287">
        <f>VLOOKUP($A36,[5]MFP!$A$7:$E$139,4,FALSE)</f>
        <v>215.33687997801599</v>
      </c>
      <c r="S36" s="288">
        <f t="shared" si="3"/>
        <v>215337</v>
      </c>
      <c r="T36" s="288">
        <f t="shared" si="4"/>
        <v>54265</v>
      </c>
      <c r="U36" s="288">
        <f t="shared" si="14"/>
        <v>269602</v>
      </c>
      <c r="V36" s="287">
        <f>VLOOKUP($A36,[5]MFP!$A$7:$E$139,5,FALSE)</f>
        <v>169.666594551278</v>
      </c>
      <c r="W36" s="288">
        <f t="shared" si="5"/>
        <v>84833</v>
      </c>
      <c r="X36" s="288">
        <f t="shared" si="6"/>
        <v>24347</v>
      </c>
      <c r="Y36" s="288">
        <f t="shared" si="15"/>
        <v>109180</v>
      </c>
      <c r="Z36" s="287">
        <f t="shared" si="7"/>
        <v>385.00347452929395</v>
      </c>
      <c r="AA36" s="288">
        <f t="shared" si="7"/>
        <v>300170</v>
      </c>
      <c r="AB36" s="288">
        <f t="shared" si="7"/>
        <v>78612</v>
      </c>
      <c r="AC36" s="289">
        <f t="shared" si="7"/>
        <v>378782</v>
      </c>
      <c r="AD36" s="287">
        <f>VLOOKUP($A36,[5]MFP!$A$7:$E$139,4,FALSE)</f>
        <v>215.33687997801599</v>
      </c>
      <c r="AE36" s="288">
        <f t="shared" si="16"/>
        <v>172270</v>
      </c>
      <c r="AF36" s="288">
        <f t="shared" si="17"/>
        <v>43412</v>
      </c>
      <c r="AG36" s="288">
        <f t="shared" si="18"/>
        <v>215682</v>
      </c>
      <c r="AH36" s="287">
        <f>VLOOKUP($A36,[5]MFP!$A$7:$E$139,5,FALSE)</f>
        <v>169.666594551278</v>
      </c>
      <c r="AI36" s="288">
        <f t="shared" si="19"/>
        <v>67867</v>
      </c>
      <c r="AJ36" s="288">
        <f t="shared" si="20"/>
        <v>19478</v>
      </c>
      <c r="AK36" s="288">
        <f t="shared" si="21"/>
        <v>87345</v>
      </c>
      <c r="AL36" s="287">
        <f t="shared" si="22"/>
        <v>385.00347452929395</v>
      </c>
      <c r="AM36" s="288">
        <f t="shared" si="22"/>
        <v>240137</v>
      </c>
      <c r="AN36" s="288">
        <f t="shared" si="22"/>
        <v>62890</v>
      </c>
      <c r="AO36" s="290">
        <f t="shared" si="22"/>
        <v>303027</v>
      </c>
      <c r="AP36" s="291">
        <f t="shared" si="9"/>
        <v>804966</v>
      </c>
    </row>
    <row r="37" spans="1:42" ht="15" customHeight="1" x14ac:dyDescent="0.2">
      <c r="A37" s="243">
        <v>31</v>
      </c>
      <c r="B37" s="244">
        <v>31</v>
      </c>
      <c r="C37" s="245" t="s">
        <v>161</v>
      </c>
      <c r="D37" s="246">
        <f>VLOOKUP(A37,[2]Template!$A$3:$G$133,7,FALSE)</f>
        <v>2</v>
      </c>
      <c r="E37" s="247">
        <f t="shared" si="1"/>
        <v>42000</v>
      </c>
      <c r="F37" s="246"/>
      <c r="G37" s="248">
        <f t="shared" si="10"/>
        <v>0</v>
      </c>
      <c r="H37" s="246"/>
      <c r="I37" s="248">
        <f t="shared" si="11"/>
        <v>0</v>
      </c>
      <c r="J37" s="249">
        <f t="shared" si="2"/>
        <v>0</v>
      </c>
      <c r="K37" s="250"/>
      <c r="L37" s="251">
        <f>VLOOKUP($A37,'[3]21-22_4_Level 4'!$A$7:$F$139,6,FALSE)</f>
        <v>101762</v>
      </c>
      <c r="M37" s="252"/>
      <c r="N37" s="246">
        <f>VLOOKUP($A37,'[4]Feb MFP_SCA'!$B$4:$K$124,10,FALSE)</f>
        <v>2540</v>
      </c>
      <c r="O37" s="253">
        <f t="shared" si="12"/>
        <v>149860</v>
      </c>
      <c r="P37" s="248"/>
      <c r="Q37" s="253">
        <f t="shared" si="13"/>
        <v>149860</v>
      </c>
      <c r="R37" s="254">
        <f>VLOOKUP($A37,[5]MFP!$A$7:$E$139,4,FALSE)</f>
        <v>534.58333333330097</v>
      </c>
      <c r="S37" s="255">
        <f t="shared" si="3"/>
        <v>534583</v>
      </c>
      <c r="T37" s="255">
        <f t="shared" si="4"/>
        <v>134715</v>
      </c>
      <c r="U37" s="255">
        <f t="shared" si="14"/>
        <v>669298</v>
      </c>
      <c r="V37" s="254">
        <f>VLOOKUP($A37,[5]MFP!$A$7:$E$139,5,FALSE)</f>
        <v>377.91666666666197</v>
      </c>
      <c r="W37" s="255">
        <f t="shared" si="5"/>
        <v>188958</v>
      </c>
      <c r="X37" s="255">
        <f t="shared" si="6"/>
        <v>54231</v>
      </c>
      <c r="Y37" s="255">
        <f t="shared" si="15"/>
        <v>243189</v>
      </c>
      <c r="Z37" s="254">
        <f t="shared" si="7"/>
        <v>912.49999999996294</v>
      </c>
      <c r="AA37" s="255">
        <f t="shared" si="7"/>
        <v>723541</v>
      </c>
      <c r="AB37" s="255">
        <f t="shared" si="7"/>
        <v>188946</v>
      </c>
      <c r="AC37" s="256">
        <f t="shared" si="7"/>
        <v>912487</v>
      </c>
      <c r="AD37" s="254">
        <f>VLOOKUP($A37,[5]MFP!$A$7:$E$139,4,FALSE)</f>
        <v>534.58333333330097</v>
      </c>
      <c r="AE37" s="255">
        <f t="shared" si="16"/>
        <v>427667</v>
      </c>
      <c r="AF37" s="255">
        <f t="shared" si="17"/>
        <v>107772</v>
      </c>
      <c r="AG37" s="255">
        <f t="shared" si="18"/>
        <v>535439</v>
      </c>
      <c r="AH37" s="254">
        <f>VLOOKUP($A37,[5]MFP!$A$7:$E$139,5,FALSE)</f>
        <v>377.91666666666197</v>
      </c>
      <c r="AI37" s="255">
        <f t="shared" si="19"/>
        <v>151167</v>
      </c>
      <c r="AJ37" s="255">
        <f t="shared" si="20"/>
        <v>43385</v>
      </c>
      <c r="AK37" s="255">
        <f t="shared" si="21"/>
        <v>194552</v>
      </c>
      <c r="AL37" s="254">
        <f t="shared" si="22"/>
        <v>912.49999999996294</v>
      </c>
      <c r="AM37" s="255">
        <f t="shared" si="22"/>
        <v>578834</v>
      </c>
      <c r="AN37" s="255">
        <f t="shared" si="22"/>
        <v>151157</v>
      </c>
      <c r="AO37" s="257">
        <f t="shared" si="22"/>
        <v>729991</v>
      </c>
      <c r="AP37" s="258">
        <f t="shared" si="9"/>
        <v>1936100</v>
      </c>
    </row>
    <row r="38" spans="1:42" ht="15" customHeight="1" x14ac:dyDescent="0.2">
      <c r="A38" s="275">
        <v>32</v>
      </c>
      <c r="B38" s="260">
        <v>32</v>
      </c>
      <c r="C38" s="261" t="s">
        <v>162</v>
      </c>
      <c r="D38" s="262">
        <f>VLOOKUP(A38,[2]Template!$A$3:$G$133,7,FALSE)</f>
        <v>0</v>
      </c>
      <c r="E38" s="263">
        <f t="shared" si="1"/>
        <v>0</v>
      </c>
      <c r="F38" s="262"/>
      <c r="G38" s="264">
        <f t="shared" si="10"/>
        <v>0</v>
      </c>
      <c r="H38" s="262"/>
      <c r="I38" s="264">
        <f t="shared" si="11"/>
        <v>0</v>
      </c>
      <c r="J38" s="265">
        <f t="shared" si="2"/>
        <v>0</v>
      </c>
      <c r="K38" s="266"/>
      <c r="L38" s="267">
        <f>VLOOKUP($A38,'[3]21-22_4_Level 4'!$A$7:$F$139,6,FALSE)</f>
        <v>988341</v>
      </c>
      <c r="M38" s="268"/>
      <c r="N38" s="262">
        <f>VLOOKUP($A38,'[4]Feb MFP_SCA'!$B$4:$K$124,10,FALSE)</f>
        <v>11458</v>
      </c>
      <c r="O38" s="269">
        <f t="shared" si="12"/>
        <v>676022</v>
      </c>
      <c r="P38" s="264"/>
      <c r="Q38" s="269">
        <f t="shared" si="13"/>
        <v>676022</v>
      </c>
      <c r="R38" s="270">
        <f>VLOOKUP($A38,[5]MFP!$A$7:$E$139,4,FALSE)</f>
        <v>2077.5808548288819</v>
      </c>
      <c r="S38" s="271">
        <f t="shared" si="3"/>
        <v>2077581</v>
      </c>
      <c r="T38" s="271">
        <f t="shared" si="4"/>
        <v>523550</v>
      </c>
      <c r="U38" s="271">
        <f t="shared" si="14"/>
        <v>2601131</v>
      </c>
      <c r="V38" s="270">
        <f>VLOOKUP($A38,[5]MFP!$A$7:$E$139,5,FALSE)</f>
        <v>1545.3272866237812</v>
      </c>
      <c r="W38" s="271">
        <f t="shared" si="5"/>
        <v>772664</v>
      </c>
      <c r="X38" s="271">
        <f t="shared" si="6"/>
        <v>221755</v>
      </c>
      <c r="Y38" s="271">
        <f t="shared" si="15"/>
        <v>994419</v>
      </c>
      <c r="Z38" s="270">
        <f t="shared" si="7"/>
        <v>3622.9081414526631</v>
      </c>
      <c r="AA38" s="271">
        <f t="shared" si="7"/>
        <v>2850245</v>
      </c>
      <c r="AB38" s="271">
        <f t="shared" si="7"/>
        <v>745305</v>
      </c>
      <c r="AC38" s="272">
        <f t="shared" si="7"/>
        <v>3595550</v>
      </c>
      <c r="AD38" s="270">
        <f>VLOOKUP($A38,[5]MFP!$A$7:$E$139,4,FALSE)</f>
        <v>2077.5808548288819</v>
      </c>
      <c r="AE38" s="271">
        <f t="shared" si="16"/>
        <v>1662065</v>
      </c>
      <c r="AF38" s="271">
        <f t="shared" si="17"/>
        <v>418840</v>
      </c>
      <c r="AG38" s="271">
        <f t="shared" si="18"/>
        <v>2080905</v>
      </c>
      <c r="AH38" s="270">
        <f>VLOOKUP($A38,[5]MFP!$A$7:$E$139,5,FALSE)</f>
        <v>1545.3272866237812</v>
      </c>
      <c r="AI38" s="271">
        <f t="shared" si="19"/>
        <v>618131</v>
      </c>
      <c r="AJ38" s="271">
        <f t="shared" si="20"/>
        <v>177404</v>
      </c>
      <c r="AK38" s="271">
        <f t="shared" si="21"/>
        <v>795535</v>
      </c>
      <c r="AL38" s="270">
        <f t="shared" si="22"/>
        <v>3622.9081414526631</v>
      </c>
      <c r="AM38" s="271">
        <f t="shared" si="22"/>
        <v>2280196</v>
      </c>
      <c r="AN38" s="271">
        <f t="shared" si="22"/>
        <v>596244</v>
      </c>
      <c r="AO38" s="273">
        <f t="shared" si="22"/>
        <v>2876440</v>
      </c>
      <c r="AP38" s="274">
        <f t="shared" si="9"/>
        <v>8136353</v>
      </c>
    </row>
    <row r="39" spans="1:42" ht="15" customHeight="1" x14ac:dyDescent="0.2">
      <c r="A39" s="275">
        <v>33</v>
      </c>
      <c r="B39" s="260">
        <v>33</v>
      </c>
      <c r="C39" s="261" t="s">
        <v>163</v>
      </c>
      <c r="D39" s="262">
        <f>VLOOKUP(A39,[2]Template!$A$3:$G$133,7,FALSE)</f>
        <v>0</v>
      </c>
      <c r="E39" s="263">
        <f t="shared" si="1"/>
        <v>0</v>
      </c>
      <c r="F39" s="262"/>
      <c r="G39" s="264">
        <f t="shared" si="10"/>
        <v>0</v>
      </c>
      <c r="H39" s="262"/>
      <c r="I39" s="264">
        <f t="shared" si="11"/>
        <v>0</v>
      </c>
      <c r="J39" s="265">
        <f t="shared" si="2"/>
        <v>0</v>
      </c>
      <c r="K39" s="266"/>
      <c r="L39" s="267">
        <f>VLOOKUP($A39,'[3]21-22_4_Level 4'!$A$7:$F$139,6,FALSE)</f>
        <v>38861</v>
      </c>
      <c r="M39" s="268"/>
      <c r="N39" s="262">
        <f>VLOOKUP($A39,'[4]Feb MFP_SCA'!$B$4:$K$124,10,FALSE)</f>
        <v>537</v>
      </c>
      <c r="O39" s="269">
        <f t="shared" si="12"/>
        <v>31683</v>
      </c>
      <c r="P39" s="264"/>
      <c r="Q39" s="269">
        <f t="shared" si="13"/>
        <v>31683</v>
      </c>
      <c r="R39" s="270">
        <f>VLOOKUP($A39,[5]MFP!$A$7:$E$139,4,FALSE)</f>
        <v>103.746637751466</v>
      </c>
      <c r="S39" s="271">
        <f t="shared" si="3"/>
        <v>103747</v>
      </c>
      <c r="T39" s="271">
        <f t="shared" si="4"/>
        <v>26144</v>
      </c>
      <c r="U39" s="271">
        <f t="shared" si="14"/>
        <v>129891</v>
      </c>
      <c r="V39" s="270">
        <f>VLOOKUP($A39,[5]MFP!$A$7:$E$139,5,FALSE)</f>
        <v>95.782553971813996</v>
      </c>
      <c r="W39" s="271">
        <f t="shared" si="5"/>
        <v>47891</v>
      </c>
      <c r="X39" s="271">
        <f t="shared" si="6"/>
        <v>13745</v>
      </c>
      <c r="Y39" s="271">
        <f t="shared" si="15"/>
        <v>61636</v>
      </c>
      <c r="Z39" s="270">
        <f t="shared" si="7"/>
        <v>199.52919172328001</v>
      </c>
      <c r="AA39" s="271">
        <f t="shared" si="7"/>
        <v>151638</v>
      </c>
      <c r="AB39" s="271">
        <f t="shared" si="7"/>
        <v>39889</v>
      </c>
      <c r="AC39" s="272">
        <f t="shared" si="7"/>
        <v>191527</v>
      </c>
      <c r="AD39" s="270">
        <f>VLOOKUP($A39,[5]MFP!$A$7:$E$139,4,FALSE)</f>
        <v>103.746637751466</v>
      </c>
      <c r="AE39" s="271">
        <f t="shared" si="16"/>
        <v>82997</v>
      </c>
      <c r="AF39" s="271">
        <f t="shared" si="17"/>
        <v>20915</v>
      </c>
      <c r="AG39" s="271">
        <f t="shared" si="18"/>
        <v>103912</v>
      </c>
      <c r="AH39" s="270">
        <f>VLOOKUP($A39,[5]MFP!$A$7:$E$139,5,FALSE)</f>
        <v>95.782553971813996</v>
      </c>
      <c r="AI39" s="271">
        <f t="shared" si="19"/>
        <v>38313</v>
      </c>
      <c r="AJ39" s="271">
        <f t="shared" si="20"/>
        <v>10996</v>
      </c>
      <c r="AK39" s="271">
        <f t="shared" si="21"/>
        <v>49309</v>
      </c>
      <c r="AL39" s="270">
        <f t="shared" si="22"/>
        <v>199.52919172328001</v>
      </c>
      <c r="AM39" s="271">
        <f t="shared" si="22"/>
        <v>121310</v>
      </c>
      <c r="AN39" s="271">
        <f t="shared" si="22"/>
        <v>31911</v>
      </c>
      <c r="AO39" s="273">
        <f t="shared" si="22"/>
        <v>153221</v>
      </c>
      <c r="AP39" s="274">
        <f t="shared" si="9"/>
        <v>415292</v>
      </c>
    </row>
    <row r="40" spans="1:42" ht="15" customHeight="1" x14ac:dyDescent="0.2">
      <c r="A40" s="275">
        <v>34</v>
      </c>
      <c r="B40" s="260">
        <v>34</v>
      </c>
      <c r="C40" s="261" t="s">
        <v>164</v>
      </c>
      <c r="D40" s="262">
        <f>VLOOKUP(A40,[2]Template!$A$3:$G$133,7,FALSE)</f>
        <v>0</v>
      </c>
      <c r="E40" s="263">
        <f t="shared" si="1"/>
        <v>0</v>
      </c>
      <c r="F40" s="262"/>
      <c r="G40" s="264">
        <f t="shared" si="10"/>
        <v>0</v>
      </c>
      <c r="H40" s="262"/>
      <c r="I40" s="264">
        <f t="shared" si="11"/>
        <v>0</v>
      </c>
      <c r="J40" s="265">
        <f t="shared" si="2"/>
        <v>0</v>
      </c>
      <c r="K40" s="266"/>
      <c r="L40" s="267">
        <f>VLOOKUP($A40,'[3]21-22_4_Level 4'!$A$7:$F$139,6,FALSE)</f>
        <v>123633</v>
      </c>
      <c r="M40" s="268"/>
      <c r="N40" s="262">
        <f>VLOOKUP($A40,'[4]Feb MFP_SCA'!$B$4:$K$124,10,FALSE)</f>
        <v>1462</v>
      </c>
      <c r="O40" s="269">
        <f t="shared" si="12"/>
        <v>86258</v>
      </c>
      <c r="P40" s="264"/>
      <c r="Q40" s="269">
        <f t="shared" si="13"/>
        <v>86258</v>
      </c>
      <c r="R40" s="270">
        <f>VLOOKUP($A40,[5]MFP!$A$7:$E$139,4,FALSE)</f>
        <v>270.77014230701906</v>
      </c>
      <c r="S40" s="271">
        <f t="shared" si="3"/>
        <v>270770</v>
      </c>
      <c r="T40" s="271">
        <f t="shared" si="4"/>
        <v>68234</v>
      </c>
      <c r="U40" s="271">
        <f t="shared" si="14"/>
        <v>339004</v>
      </c>
      <c r="V40" s="270">
        <f>VLOOKUP($A40,[5]MFP!$A$7:$E$139,5,FALSE)</f>
        <v>200.22985769290298</v>
      </c>
      <c r="W40" s="271">
        <f t="shared" si="5"/>
        <v>100115</v>
      </c>
      <c r="X40" s="271">
        <f t="shared" si="6"/>
        <v>28733</v>
      </c>
      <c r="Y40" s="271">
        <f t="shared" si="15"/>
        <v>128848</v>
      </c>
      <c r="Z40" s="270">
        <f t="shared" si="7"/>
        <v>470.99999999992201</v>
      </c>
      <c r="AA40" s="271">
        <f t="shared" si="7"/>
        <v>370885</v>
      </c>
      <c r="AB40" s="271">
        <f t="shared" si="7"/>
        <v>96967</v>
      </c>
      <c r="AC40" s="272">
        <f t="shared" si="7"/>
        <v>467852</v>
      </c>
      <c r="AD40" s="270">
        <f>VLOOKUP($A40,[5]MFP!$A$7:$E$139,4,FALSE)</f>
        <v>270.77014230701906</v>
      </c>
      <c r="AE40" s="271">
        <f t="shared" si="16"/>
        <v>216616</v>
      </c>
      <c r="AF40" s="271">
        <f t="shared" si="17"/>
        <v>54587</v>
      </c>
      <c r="AG40" s="271">
        <f t="shared" si="18"/>
        <v>271203</v>
      </c>
      <c r="AH40" s="270">
        <f>VLOOKUP($A40,[5]MFP!$A$7:$E$139,5,FALSE)</f>
        <v>200.22985769290298</v>
      </c>
      <c r="AI40" s="271">
        <f t="shared" si="19"/>
        <v>80092</v>
      </c>
      <c r="AJ40" s="271">
        <f t="shared" si="20"/>
        <v>22986</v>
      </c>
      <c r="AK40" s="271">
        <f t="shared" si="21"/>
        <v>103078</v>
      </c>
      <c r="AL40" s="270">
        <f t="shared" si="22"/>
        <v>470.99999999992201</v>
      </c>
      <c r="AM40" s="271">
        <f t="shared" si="22"/>
        <v>296708</v>
      </c>
      <c r="AN40" s="271">
        <f t="shared" si="22"/>
        <v>77573</v>
      </c>
      <c r="AO40" s="273">
        <f t="shared" si="22"/>
        <v>374281</v>
      </c>
      <c r="AP40" s="274">
        <f t="shared" si="9"/>
        <v>1052024</v>
      </c>
    </row>
    <row r="41" spans="1:42" ht="15" customHeight="1" x14ac:dyDescent="0.2">
      <c r="A41" s="276">
        <v>35</v>
      </c>
      <c r="B41" s="277">
        <v>35</v>
      </c>
      <c r="C41" s="278" t="s">
        <v>165</v>
      </c>
      <c r="D41" s="279">
        <f>VLOOKUP(A41,[2]Template!$A$3:$G$133,7,FALSE)</f>
        <v>0</v>
      </c>
      <c r="E41" s="280">
        <f t="shared" si="1"/>
        <v>0</v>
      </c>
      <c r="F41" s="279"/>
      <c r="G41" s="281">
        <f t="shared" si="10"/>
        <v>0</v>
      </c>
      <c r="H41" s="279"/>
      <c r="I41" s="281">
        <f t="shared" si="11"/>
        <v>0</v>
      </c>
      <c r="J41" s="282">
        <f t="shared" si="2"/>
        <v>0</v>
      </c>
      <c r="K41" s="283"/>
      <c r="L41" s="284">
        <f>VLOOKUP($A41,'[3]21-22_4_Level 4'!$A$7:$F$139,6,FALSE)</f>
        <v>140443</v>
      </c>
      <c r="M41" s="285"/>
      <c r="N41" s="279">
        <f>VLOOKUP($A41,'[4]Feb MFP_SCA'!$B$4:$K$124,10,FALSE)</f>
        <v>2548</v>
      </c>
      <c r="O41" s="286">
        <f t="shared" si="12"/>
        <v>150332</v>
      </c>
      <c r="P41" s="281"/>
      <c r="Q41" s="286">
        <f t="shared" si="13"/>
        <v>150332</v>
      </c>
      <c r="R41" s="287">
        <f>VLOOKUP($A41,[5]MFP!$A$7:$E$139,4,FALSE)</f>
        <v>548.84999999992397</v>
      </c>
      <c r="S41" s="288">
        <f t="shared" si="3"/>
        <v>548850</v>
      </c>
      <c r="T41" s="288">
        <f t="shared" si="4"/>
        <v>138310</v>
      </c>
      <c r="U41" s="288">
        <f t="shared" si="14"/>
        <v>687160</v>
      </c>
      <c r="V41" s="287">
        <f>VLOOKUP($A41,[5]MFP!$A$7:$E$139,5,FALSE)</f>
        <v>219.99999999999801</v>
      </c>
      <c r="W41" s="288">
        <f t="shared" si="5"/>
        <v>110000</v>
      </c>
      <c r="X41" s="288">
        <f t="shared" si="6"/>
        <v>31570</v>
      </c>
      <c r="Y41" s="288">
        <f t="shared" si="15"/>
        <v>141570</v>
      </c>
      <c r="Z41" s="287">
        <f t="shared" si="7"/>
        <v>768.84999999992192</v>
      </c>
      <c r="AA41" s="288">
        <f t="shared" si="7"/>
        <v>658850</v>
      </c>
      <c r="AB41" s="288">
        <f t="shared" si="7"/>
        <v>169880</v>
      </c>
      <c r="AC41" s="289">
        <f t="shared" si="7"/>
        <v>828730</v>
      </c>
      <c r="AD41" s="287">
        <f>VLOOKUP($A41,[5]MFP!$A$7:$E$139,4,FALSE)</f>
        <v>548.84999999992397</v>
      </c>
      <c r="AE41" s="288">
        <f t="shared" si="16"/>
        <v>439080</v>
      </c>
      <c r="AF41" s="288">
        <f t="shared" si="17"/>
        <v>110648</v>
      </c>
      <c r="AG41" s="288">
        <f t="shared" si="18"/>
        <v>549728</v>
      </c>
      <c r="AH41" s="287">
        <f>VLOOKUP($A41,[5]MFP!$A$7:$E$139,5,FALSE)</f>
        <v>219.99999999999801</v>
      </c>
      <c r="AI41" s="288">
        <f t="shared" si="19"/>
        <v>88000</v>
      </c>
      <c r="AJ41" s="288">
        <f t="shared" si="20"/>
        <v>25256</v>
      </c>
      <c r="AK41" s="288">
        <f t="shared" si="21"/>
        <v>113256</v>
      </c>
      <c r="AL41" s="287">
        <f t="shared" si="22"/>
        <v>768.84999999992192</v>
      </c>
      <c r="AM41" s="288">
        <f t="shared" si="22"/>
        <v>527080</v>
      </c>
      <c r="AN41" s="288">
        <f t="shared" si="22"/>
        <v>135904</v>
      </c>
      <c r="AO41" s="290">
        <f t="shared" si="22"/>
        <v>662984</v>
      </c>
      <c r="AP41" s="291">
        <f t="shared" si="9"/>
        <v>1782489</v>
      </c>
    </row>
    <row r="42" spans="1:42" ht="15" customHeight="1" x14ac:dyDescent="0.2">
      <c r="A42" s="243">
        <v>36</v>
      </c>
      <c r="B42" s="244">
        <v>36</v>
      </c>
      <c r="C42" s="245" t="s">
        <v>166</v>
      </c>
      <c r="D42" s="246">
        <f>VLOOKUP(A42,[2]Template!$A$3:$G$133,7,FALSE)</f>
        <v>25</v>
      </c>
      <c r="E42" s="247">
        <f t="shared" si="1"/>
        <v>525000</v>
      </c>
      <c r="F42" s="246"/>
      <c r="G42" s="248">
        <f t="shared" si="10"/>
        <v>0</v>
      </c>
      <c r="H42" s="246"/>
      <c r="I42" s="248">
        <f t="shared" si="11"/>
        <v>0</v>
      </c>
      <c r="J42" s="249">
        <f t="shared" si="2"/>
        <v>0</v>
      </c>
      <c r="K42" s="250"/>
      <c r="L42" s="251">
        <f>VLOOKUP($A42,'[3]21-22_4_Level 4'!$A$7:$F$139,6,FALSE)</f>
        <v>878434</v>
      </c>
      <c r="M42" s="252"/>
      <c r="N42" s="246">
        <f>VLOOKUP($A42,'[4]Feb MFP_SCA'!$B$4:$K$124,10,FALSE)</f>
        <v>20192</v>
      </c>
      <c r="O42" s="253">
        <f t="shared" si="12"/>
        <v>1191328</v>
      </c>
      <c r="P42" s="248"/>
      <c r="Q42" s="253">
        <f t="shared" si="13"/>
        <v>1191328</v>
      </c>
      <c r="R42" s="254">
        <f>VLOOKUP($A42,[5]MFP!$A$7:$E$139,4,FALSE)</f>
        <v>4088.3401594442976</v>
      </c>
      <c r="S42" s="255">
        <f t="shared" si="3"/>
        <v>4088340</v>
      </c>
      <c r="T42" s="255">
        <f t="shared" si="4"/>
        <v>1030262</v>
      </c>
      <c r="U42" s="255">
        <f t="shared" si="14"/>
        <v>5118602</v>
      </c>
      <c r="V42" s="254">
        <f>VLOOKUP($A42,[5]MFP!$A$7:$E$139,5,FALSE)</f>
        <v>1953.7023803995799</v>
      </c>
      <c r="W42" s="255">
        <f t="shared" si="5"/>
        <v>976851</v>
      </c>
      <c r="X42" s="255">
        <f t="shared" si="6"/>
        <v>280356</v>
      </c>
      <c r="Y42" s="255">
        <f t="shared" si="15"/>
        <v>1257207</v>
      </c>
      <c r="Z42" s="254">
        <f t="shared" si="7"/>
        <v>6042.0425398438774</v>
      </c>
      <c r="AA42" s="255">
        <f t="shared" si="7"/>
        <v>5065191</v>
      </c>
      <c r="AB42" s="255">
        <f t="shared" si="7"/>
        <v>1310618</v>
      </c>
      <c r="AC42" s="256">
        <f t="shared" si="7"/>
        <v>6375809</v>
      </c>
      <c r="AD42" s="254">
        <f>VLOOKUP($A42,[5]MFP!$A$7:$E$139,4,FALSE)</f>
        <v>4088.3401594442976</v>
      </c>
      <c r="AE42" s="255">
        <f t="shared" si="16"/>
        <v>3270672</v>
      </c>
      <c r="AF42" s="255">
        <f t="shared" si="17"/>
        <v>824209</v>
      </c>
      <c r="AG42" s="255">
        <f t="shared" si="18"/>
        <v>4094881</v>
      </c>
      <c r="AH42" s="254">
        <f>VLOOKUP($A42,[5]MFP!$A$7:$E$139,5,FALSE)</f>
        <v>1953.7023803995799</v>
      </c>
      <c r="AI42" s="255">
        <f t="shared" si="19"/>
        <v>781481</v>
      </c>
      <c r="AJ42" s="255">
        <f t="shared" si="20"/>
        <v>224285</v>
      </c>
      <c r="AK42" s="255">
        <f t="shared" si="21"/>
        <v>1005766</v>
      </c>
      <c r="AL42" s="254">
        <f t="shared" si="22"/>
        <v>6042.0425398438774</v>
      </c>
      <c r="AM42" s="255">
        <f t="shared" si="22"/>
        <v>4052153</v>
      </c>
      <c r="AN42" s="255">
        <f t="shared" si="22"/>
        <v>1048494</v>
      </c>
      <c r="AO42" s="257">
        <f t="shared" si="22"/>
        <v>5100647</v>
      </c>
      <c r="AP42" s="258">
        <f t="shared" si="9"/>
        <v>14071218</v>
      </c>
    </row>
    <row r="43" spans="1:42" ht="15" customHeight="1" x14ac:dyDescent="0.2">
      <c r="A43" s="275">
        <v>37</v>
      </c>
      <c r="B43" s="260">
        <v>37</v>
      </c>
      <c r="C43" s="261" t="s">
        <v>167</v>
      </c>
      <c r="D43" s="262">
        <f>VLOOKUP(A43,[2]Template!$A$3:$G$133,7,FALSE)</f>
        <v>0</v>
      </c>
      <c r="E43" s="263">
        <f t="shared" si="1"/>
        <v>0</v>
      </c>
      <c r="F43" s="262"/>
      <c r="G43" s="264">
        <f t="shared" si="10"/>
        <v>0</v>
      </c>
      <c r="H43" s="262"/>
      <c r="I43" s="264">
        <f t="shared" si="11"/>
        <v>0</v>
      </c>
      <c r="J43" s="265">
        <f t="shared" si="2"/>
        <v>0</v>
      </c>
      <c r="K43" s="266"/>
      <c r="L43" s="267">
        <f>VLOOKUP($A43,'[3]21-22_4_Level 4'!$A$7:$F$139,6,FALSE)</f>
        <v>283597</v>
      </c>
      <c r="M43" s="268"/>
      <c r="N43" s="262">
        <f>VLOOKUP($A43,'[4]Feb MFP_SCA'!$B$4:$K$124,10,FALSE)</f>
        <v>8179</v>
      </c>
      <c r="O43" s="269">
        <f t="shared" si="12"/>
        <v>482561</v>
      </c>
      <c r="P43" s="264"/>
      <c r="Q43" s="269">
        <f t="shared" si="13"/>
        <v>482561</v>
      </c>
      <c r="R43" s="270">
        <f>VLOOKUP($A43,[5]MFP!$A$7:$E$139,4,FALSE)</f>
        <v>1566.2937984429241</v>
      </c>
      <c r="S43" s="271">
        <f t="shared" si="3"/>
        <v>1566294</v>
      </c>
      <c r="T43" s="271">
        <f t="shared" si="4"/>
        <v>394706</v>
      </c>
      <c r="U43" s="271">
        <f t="shared" si="14"/>
        <v>1961000</v>
      </c>
      <c r="V43" s="270">
        <f>VLOOKUP($A43,[5]MFP!$A$7:$E$139,5,FALSE)</f>
        <v>1302.847641697979</v>
      </c>
      <c r="W43" s="271">
        <f t="shared" si="5"/>
        <v>651424</v>
      </c>
      <c r="X43" s="271">
        <f t="shared" si="6"/>
        <v>186959</v>
      </c>
      <c r="Y43" s="271">
        <f t="shared" si="15"/>
        <v>838383</v>
      </c>
      <c r="Z43" s="270">
        <f t="shared" si="7"/>
        <v>2869.1414401409029</v>
      </c>
      <c r="AA43" s="271">
        <f t="shared" si="7"/>
        <v>2217718</v>
      </c>
      <c r="AB43" s="271">
        <f t="shared" si="7"/>
        <v>581665</v>
      </c>
      <c r="AC43" s="272">
        <f t="shared" si="7"/>
        <v>2799383</v>
      </c>
      <c r="AD43" s="270">
        <f>VLOOKUP($A43,[5]MFP!$A$7:$E$139,4,FALSE)</f>
        <v>1566.2937984429241</v>
      </c>
      <c r="AE43" s="271">
        <f t="shared" si="16"/>
        <v>1253035</v>
      </c>
      <c r="AF43" s="271">
        <f t="shared" si="17"/>
        <v>315765</v>
      </c>
      <c r="AG43" s="271">
        <f t="shared" si="18"/>
        <v>1568800</v>
      </c>
      <c r="AH43" s="270">
        <f>VLOOKUP($A43,[5]MFP!$A$7:$E$139,5,FALSE)</f>
        <v>1302.847641697979</v>
      </c>
      <c r="AI43" s="271">
        <f t="shared" si="19"/>
        <v>521139</v>
      </c>
      <c r="AJ43" s="271">
        <f t="shared" si="20"/>
        <v>149567</v>
      </c>
      <c r="AK43" s="271">
        <f t="shared" si="21"/>
        <v>670706</v>
      </c>
      <c r="AL43" s="270">
        <f t="shared" si="22"/>
        <v>2869.1414401409029</v>
      </c>
      <c r="AM43" s="271">
        <f t="shared" si="22"/>
        <v>1774174</v>
      </c>
      <c r="AN43" s="271">
        <f t="shared" si="22"/>
        <v>465332</v>
      </c>
      <c r="AO43" s="273">
        <f t="shared" si="22"/>
        <v>2239506</v>
      </c>
      <c r="AP43" s="274">
        <f t="shared" si="9"/>
        <v>5805047</v>
      </c>
    </row>
    <row r="44" spans="1:42" ht="15" customHeight="1" x14ac:dyDescent="0.2">
      <c r="A44" s="275">
        <v>38</v>
      </c>
      <c r="B44" s="260">
        <v>38</v>
      </c>
      <c r="C44" s="261" t="s">
        <v>168</v>
      </c>
      <c r="D44" s="262">
        <f>VLOOKUP(A44,[2]Template!$A$3:$G$133,7,FALSE)</f>
        <v>0</v>
      </c>
      <c r="E44" s="263">
        <f t="shared" si="1"/>
        <v>0</v>
      </c>
      <c r="F44" s="262"/>
      <c r="G44" s="264">
        <f t="shared" si="10"/>
        <v>0</v>
      </c>
      <c r="H44" s="262"/>
      <c r="I44" s="264">
        <f t="shared" si="11"/>
        <v>0</v>
      </c>
      <c r="J44" s="265">
        <f t="shared" si="2"/>
        <v>0</v>
      </c>
      <c r="K44" s="266"/>
      <c r="L44" s="267">
        <f>VLOOKUP($A44,'[3]21-22_4_Level 4'!$A$7:$F$139,6,FALSE)</f>
        <v>54044</v>
      </c>
      <c r="M44" s="268"/>
      <c r="N44" s="262">
        <f>VLOOKUP($A44,'[4]Feb MFP_SCA'!$B$4:$K$124,10,FALSE)</f>
        <v>1850</v>
      </c>
      <c r="O44" s="269">
        <f t="shared" si="12"/>
        <v>109150</v>
      </c>
      <c r="P44" s="264"/>
      <c r="Q44" s="269">
        <f t="shared" si="13"/>
        <v>109150</v>
      </c>
      <c r="R44" s="270">
        <f>VLOOKUP($A44,[5]MFP!$A$7:$E$139,4,FALSE)</f>
        <v>353.78111587900003</v>
      </c>
      <c r="S44" s="271">
        <f t="shared" si="3"/>
        <v>353781</v>
      </c>
      <c r="T44" s="271">
        <f t="shared" si="4"/>
        <v>89153</v>
      </c>
      <c r="U44" s="271">
        <f t="shared" si="14"/>
        <v>442934</v>
      </c>
      <c r="V44" s="270">
        <f>VLOOKUP($A44,[5]MFP!$A$7:$E$139,5,FALSE)</f>
        <v>295</v>
      </c>
      <c r="W44" s="271">
        <f t="shared" si="5"/>
        <v>147500</v>
      </c>
      <c r="X44" s="271">
        <f t="shared" si="6"/>
        <v>42333</v>
      </c>
      <c r="Y44" s="271">
        <f t="shared" si="15"/>
        <v>189833</v>
      </c>
      <c r="Z44" s="270">
        <f t="shared" si="7"/>
        <v>648.78111587900003</v>
      </c>
      <c r="AA44" s="271">
        <f t="shared" si="7"/>
        <v>501281</v>
      </c>
      <c r="AB44" s="271">
        <f t="shared" si="7"/>
        <v>131486</v>
      </c>
      <c r="AC44" s="272">
        <f t="shared" si="7"/>
        <v>632767</v>
      </c>
      <c r="AD44" s="270">
        <f>VLOOKUP($A44,[5]MFP!$A$7:$E$139,4,FALSE)</f>
        <v>353.78111587900003</v>
      </c>
      <c r="AE44" s="271">
        <f t="shared" si="16"/>
        <v>283025</v>
      </c>
      <c r="AF44" s="271">
        <f t="shared" si="17"/>
        <v>71322</v>
      </c>
      <c r="AG44" s="271">
        <f t="shared" si="18"/>
        <v>354347</v>
      </c>
      <c r="AH44" s="270">
        <f>VLOOKUP($A44,[5]MFP!$A$7:$E$139,5,FALSE)</f>
        <v>295</v>
      </c>
      <c r="AI44" s="271">
        <f t="shared" si="19"/>
        <v>118000</v>
      </c>
      <c r="AJ44" s="271">
        <f t="shared" si="20"/>
        <v>33866</v>
      </c>
      <c r="AK44" s="271">
        <f t="shared" si="21"/>
        <v>151866</v>
      </c>
      <c r="AL44" s="270">
        <f t="shared" si="22"/>
        <v>648.78111587900003</v>
      </c>
      <c r="AM44" s="271">
        <f t="shared" si="22"/>
        <v>401025</v>
      </c>
      <c r="AN44" s="271">
        <f t="shared" si="22"/>
        <v>105188</v>
      </c>
      <c r="AO44" s="273">
        <f t="shared" si="22"/>
        <v>506213</v>
      </c>
      <c r="AP44" s="274">
        <f t="shared" si="9"/>
        <v>1302174</v>
      </c>
    </row>
    <row r="45" spans="1:42" ht="15" customHeight="1" x14ac:dyDescent="0.2">
      <c r="A45" s="275">
        <v>39</v>
      </c>
      <c r="B45" s="260">
        <v>39</v>
      </c>
      <c r="C45" s="261" t="s">
        <v>169</v>
      </c>
      <c r="D45" s="262">
        <f>VLOOKUP(A45,[2]Template!$A$3:$G$133,7,FALSE)</f>
        <v>4</v>
      </c>
      <c r="E45" s="263">
        <f t="shared" si="1"/>
        <v>84000</v>
      </c>
      <c r="F45" s="262"/>
      <c r="G45" s="264">
        <f t="shared" si="10"/>
        <v>0</v>
      </c>
      <c r="H45" s="262"/>
      <c r="I45" s="264">
        <f t="shared" si="11"/>
        <v>0</v>
      </c>
      <c r="J45" s="265">
        <f t="shared" si="2"/>
        <v>0</v>
      </c>
      <c r="K45" s="266"/>
      <c r="L45" s="267">
        <f>VLOOKUP($A45,'[3]21-22_4_Level 4'!$A$7:$F$139,6,FALSE)</f>
        <v>127971</v>
      </c>
      <c r="M45" s="268"/>
      <c r="N45" s="262">
        <f>VLOOKUP($A45,'[4]Feb MFP_SCA'!$B$4:$K$124,10,FALSE)</f>
        <v>1103</v>
      </c>
      <c r="O45" s="269">
        <f t="shared" si="12"/>
        <v>65077</v>
      </c>
      <c r="P45" s="264"/>
      <c r="Q45" s="269">
        <f t="shared" si="13"/>
        <v>65077</v>
      </c>
      <c r="R45" s="270">
        <f>VLOOKUP($A45,[5]MFP!$A$7:$E$139,4,FALSE)</f>
        <v>167.00392464399999</v>
      </c>
      <c r="S45" s="271">
        <f t="shared" si="3"/>
        <v>167004</v>
      </c>
      <c r="T45" s="271">
        <f t="shared" si="4"/>
        <v>42085</v>
      </c>
      <c r="U45" s="271">
        <f t="shared" si="14"/>
        <v>209089</v>
      </c>
      <c r="V45" s="270">
        <f>VLOOKUP($A45,[5]MFP!$A$7:$E$139,5,FALSE)</f>
        <v>104</v>
      </c>
      <c r="W45" s="271">
        <f t="shared" si="5"/>
        <v>52000</v>
      </c>
      <c r="X45" s="271">
        <f t="shared" si="6"/>
        <v>14924</v>
      </c>
      <c r="Y45" s="271">
        <f t="shared" si="15"/>
        <v>66924</v>
      </c>
      <c r="Z45" s="270">
        <f t="shared" si="7"/>
        <v>271.00392464399999</v>
      </c>
      <c r="AA45" s="271">
        <f t="shared" si="7"/>
        <v>219004</v>
      </c>
      <c r="AB45" s="271">
        <f t="shared" si="7"/>
        <v>57009</v>
      </c>
      <c r="AC45" s="272">
        <f t="shared" si="7"/>
        <v>276013</v>
      </c>
      <c r="AD45" s="270">
        <f>VLOOKUP($A45,[5]MFP!$A$7:$E$139,4,FALSE)</f>
        <v>167.00392464399999</v>
      </c>
      <c r="AE45" s="271">
        <f t="shared" si="16"/>
        <v>133603</v>
      </c>
      <c r="AF45" s="271">
        <f t="shared" si="17"/>
        <v>33668</v>
      </c>
      <c r="AG45" s="271">
        <f t="shared" si="18"/>
        <v>167271</v>
      </c>
      <c r="AH45" s="270">
        <f>VLOOKUP($A45,[5]MFP!$A$7:$E$139,5,FALSE)</f>
        <v>104</v>
      </c>
      <c r="AI45" s="271">
        <f t="shared" si="19"/>
        <v>41600</v>
      </c>
      <c r="AJ45" s="271">
        <f t="shared" si="20"/>
        <v>11939</v>
      </c>
      <c r="AK45" s="271">
        <f t="shared" si="21"/>
        <v>53539</v>
      </c>
      <c r="AL45" s="270">
        <f t="shared" si="22"/>
        <v>271.00392464399999</v>
      </c>
      <c r="AM45" s="271">
        <f t="shared" si="22"/>
        <v>175203</v>
      </c>
      <c r="AN45" s="271">
        <f t="shared" si="22"/>
        <v>45607</v>
      </c>
      <c r="AO45" s="273">
        <f t="shared" si="22"/>
        <v>220810</v>
      </c>
      <c r="AP45" s="274">
        <f t="shared" si="9"/>
        <v>773871</v>
      </c>
    </row>
    <row r="46" spans="1:42" ht="15" customHeight="1" x14ac:dyDescent="0.2">
      <c r="A46" s="276">
        <v>40</v>
      </c>
      <c r="B46" s="277">
        <v>40</v>
      </c>
      <c r="C46" s="278" t="s">
        <v>170</v>
      </c>
      <c r="D46" s="279">
        <f>VLOOKUP(A46,[2]Template!$A$3:$G$133,7,FALSE)</f>
        <v>0</v>
      </c>
      <c r="E46" s="280">
        <f t="shared" si="1"/>
        <v>0</v>
      </c>
      <c r="F46" s="279"/>
      <c r="G46" s="281">
        <f t="shared" si="10"/>
        <v>0</v>
      </c>
      <c r="H46" s="279"/>
      <c r="I46" s="281">
        <f t="shared" si="11"/>
        <v>0</v>
      </c>
      <c r="J46" s="282">
        <f t="shared" si="2"/>
        <v>0</v>
      </c>
      <c r="K46" s="283"/>
      <c r="L46" s="284">
        <f>VLOOKUP($A46,'[3]21-22_4_Level 4'!$A$7:$F$139,6,FALSE)</f>
        <v>599186</v>
      </c>
      <c r="M46" s="285"/>
      <c r="N46" s="279">
        <f>VLOOKUP($A46,'[4]Feb MFP_SCA'!$B$4:$K$124,10,FALSE)</f>
        <v>9868</v>
      </c>
      <c r="O46" s="286">
        <f t="shared" si="12"/>
        <v>582212</v>
      </c>
      <c r="P46" s="281"/>
      <c r="Q46" s="286">
        <f t="shared" si="13"/>
        <v>582212</v>
      </c>
      <c r="R46" s="287">
        <f>VLOOKUP($A46,[5]MFP!$A$7:$E$139,4,FALSE)</f>
        <v>1968.5999999999831</v>
      </c>
      <c r="S46" s="288">
        <f t="shared" si="3"/>
        <v>1968600</v>
      </c>
      <c r="T46" s="288">
        <f t="shared" si="4"/>
        <v>496087</v>
      </c>
      <c r="U46" s="288">
        <f t="shared" si="14"/>
        <v>2464687</v>
      </c>
      <c r="V46" s="287">
        <f>VLOOKUP($A46,[5]MFP!$A$7:$E$139,5,FALSE)</f>
        <v>1175.85128205</v>
      </c>
      <c r="W46" s="288">
        <f t="shared" si="5"/>
        <v>587926</v>
      </c>
      <c r="X46" s="288">
        <f t="shared" si="6"/>
        <v>168735</v>
      </c>
      <c r="Y46" s="288">
        <f t="shared" si="15"/>
        <v>756661</v>
      </c>
      <c r="Z46" s="287">
        <f t="shared" si="7"/>
        <v>3144.4512820499831</v>
      </c>
      <c r="AA46" s="288">
        <f t="shared" si="7"/>
        <v>2556526</v>
      </c>
      <c r="AB46" s="288">
        <f t="shared" si="7"/>
        <v>664822</v>
      </c>
      <c r="AC46" s="289">
        <f t="shared" si="7"/>
        <v>3221348</v>
      </c>
      <c r="AD46" s="287">
        <f>VLOOKUP($A46,[5]MFP!$A$7:$E$139,4,FALSE)</f>
        <v>1968.5999999999831</v>
      </c>
      <c r="AE46" s="288">
        <f t="shared" si="16"/>
        <v>1574880</v>
      </c>
      <c r="AF46" s="288">
        <f t="shared" si="17"/>
        <v>396870</v>
      </c>
      <c r="AG46" s="288">
        <f t="shared" si="18"/>
        <v>1971750</v>
      </c>
      <c r="AH46" s="287">
        <f>VLOOKUP($A46,[5]MFP!$A$7:$E$139,5,FALSE)</f>
        <v>1175.85128205</v>
      </c>
      <c r="AI46" s="288">
        <f t="shared" si="19"/>
        <v>470341</v>
      </c>
      <c r="AJ46" s="288">
        <f t="shared" si="20"/>
        <v>134988</v>
      </c>
      <c r="AK46" s="288">
        <f t="shared" si="21"/>
        <v>605329</v>
      </c>
      <c r="AL46" s="287">
        <f t="shared" si="22"/>
        <v>3144.4512820499831</v>
      </c>
      <c r="AM46" s="288">
        <f t="shared" si="22"/>
        <v>2045221</v>
      </c>
      <c r="AN46" s="288">
        <f t="shared" si="22"/>
        <v>531858</v>
      </c>
      <c r="AO46" s="290">
        <f t="shared" si="22"/>
        <v>2577079</v>
      </c>
      <c r="AP46" s="291">
        <f t="shared" si="9"/>
        <v>6979825</v>
      </c>
    </row>
    <row r="47" spans="1:42" ht="15" customHeight="1" x14ac:dyDescent="0.2">
      <c r="A47" s="243">
        <v>41</v>
      </c>
      <c r="B47" s="244">
        <v>41</v>
      </c>
      <c r="C47" s="245" t="s">
        <v>171</v>
      </c>
      <c r="D47" s="246">
        <f>VLOOKUP(A47,[2]Template!$A$3:$G$133,7,FALSE)</f>
        <v>0</v>
      </c>
      <c r="E47" s="247">
        <f t="shared" si="1"/>
        <v>0</v>
      </c>
      <c r="F47" s="246"/>
      <c r="G47" s="248">
        <f t="shared" si="10"/>
        <v>0</v>
      </c>
      <c r="H47" s="246"/>
      <c r="I47" s="248">
        <f t="shared" si="11"/>
        <v>0</v>
      </c>
      <c r="J47" s="249">
        <f t="shared" si="2"/>
        <v>0</v>
      </c>
      <c r="K47" s="250"/>
      <c r="L47" s="251">
        <f>VLOOKUP($A47,'[3]21-22_4_Level 4'!$A$7:$F$139,6,FALSE)</f>
        <v>27293</v>
      </c>
      <c r="M47" s="252"/>
      <c r="N47" s="246">
        <f>VLOOKUP($A47,'[4]Feb MFP_SCA'!$B$4:$K$124,10,FALSE)</f>
        <v>604</v>
      </c>
      <c r="O47" s="253">
        <f t="shared" si="12"/>
        <v>35636</v>
      </c>
      <c r="P47" s="248"/>
      <c r="Q47" s="253">
        <f t="shared" si="13"/>
        <v>35636</v>
      </c>
      <c r="R47" s="254">
        <f>VLOOKUP($A47,[5]MFP!$A$7:$E$139,4,FALSE)</f>
        <v>127.94450740738701</v>
      </c>
      <c r="S47" s="255">
        <f t="shared" si="3"/>
        <v>127945</v>
      </c>
      <c r="T47" s="255">
        <f t="shared" si="4"/>
        <v>32242</v>
      </c>
      <c r="U47" s="255">
        <f t="shared" si="14"/>
        <v>160187</v>
      </c>
      <c r="V47" s="254">
        <f>VLOOKUP($A47,[5]MFP!$A$7:$E$139,5,FALSE)</f>
        <v>109.09822163741799</v>
      </c>
      <c r="W47" s="255">
        <f t="shared" si="5"/>
        <v>54549</v>
      </c>
      <c r="X47" s="255">
        <f t="shared" si="6"/>
        <v>15656</v>
      </c>
      <c r="Y47" s="255">
        <f t="shared" si="15"/>
        <v>70205</v>
      </c>
      <c r="Z47" s="254">
        <f t="shared" si="7"/>
        <v>237.04272904480501</v>
      </c>
      <c r="AA47" s="255">
        <f t="shared" si="7"/>
        <v>182494</v>
      </c>
      <c r="AB47" s="255">
        <f t="shared" si="7"/>
        <v>47898</v>
      </c>
      <c r="AC47" s="256">
        <f t="shared" si="7"/>
        <v>230392</v>
      </c>
      <c r="AD47" s="254">
        <f>VLOOKUP($A47,[5]MFP!$A$7:$E$139,4,FALSE)</f>
        <v>127.94450740738701</v>
      </c>
      <c r="AE47" s="255">
        <f t="shared" si="16"/>
        <v>102356</v>
      </c>
      <c r="AF47" s="255">
        <f t="shared" si="17"/>
        <v>25794</v>
      </c>
      <c r="AG47" s="255">
        <f t="shared" si="18"/>
        <v>128150</v>
      </c>
      <c r="AH47" s="254">
        <f>VLOOKUP($A47,[5]MFP!$A$7:$E$139,5,FALSE)</f>
        <v>109.09822163741799</v>
      </c>
      <c r="AI47" s="255">
        <f t="shared" si="19"/>
        <v>43639</v>
      </c>
      <c r="AJ47" s="255">
        <f t="shared" si="20"/>
        <v>12524</v>
      </c>
      <c r="AK47" s="255">
        <f t="shared" si="21"/>
        <v>56163</v>
      </c>
      <c r="AL47" s="254">
        <f t="shared" si="22"/>
        <v>237.04272904480501</v>
      </c>
      <c r="AM47" s="255">
        <f t="shared" si="22"/>
        <v>145995</v>
      </c>
      <c r="AN47" s="255">
        <f t="shared" si="22"/>
        <v>38318</v>
      </c>
      <c r="AO47" s="257">
        <f t="shared" si="22"/>
        <v>184313</v>
      </c>
      <c r="AP47" s="258">
        <f t="shared" si="9"/>
        <v>477634</v>
      </c>
    </row>
    <row r="48" spans="1:42" ht="15" customHeight="1" x14ac:dyDescent="0.2">
      <c r="A48" s="275">
        <v>42</v>
      </c>
      <c r="B48" s="260">
        <v>42</v>
      </c>
      <c r="C48" s="261" t="s">
        <v>172</v>
      </c>
      <c r="D48" s="262">
        <f>VLOOKUP(A48,[2]Template!$A$3:$G$133,7,FALSE)</f>
        <v>0</v>
      </c>
      <c r="E48" s="263">
        <f t="shared" si="1"/>
        <v>0</v>
      </c>
      <c r="F48" s="262"/>
      <c r="G48" s="264">
        <f t="shared" si="10"/>
        <v>0</v>
      </c>
      <c r="H48" s="262"/>
      <c r="I48" s="264">
        <f t="shared" si="11"/>
        <v>0</v>
      </c>
      <c r="J48" s="265">
        <f t="shared" si="2"/>
        <v>0</v>
      </c>
      <c r="K48" s="266"/>
      <c r="L48" s="267">
        <f>VLOOKUP($A48,'[3]21-22_4_Level 4'!$A$7:$F$139,6,FALSE)</f>
        <v>67420</v>
      </c>
      <c r="M48" s="268"/>
      <c r="N48" s="262">
        <f>VLOOKUP($A48,'[4]Feb MFP_SCA'!$B$4:$K$124,10,FALSE)</f>
        <v>1230</v>
      </c>
      <c r="O48" s="269">
        <f t="shared" si="12"/>
        <v>72570</v>
      </c>
      <c r="P48" s="264"/>
      <c r="Q48" s="269">
        <f t="shared" si="13"/>
        <v>72570</v>
      </c>
      <c r="R48" s="270">
        <f>VLOOKUP($A48,[5]MFP!$A$7:$E$139,4,FALSE)</f>
        <v>212.342011102181</v>
      </c>
      <c r="S48" s="271">
        <f t="shared" si="3"/>
        <v>212342</v>
      </c>
      <c r="T48" s="271">
        <f t="shared" si="4"/>
        <v>53510</v>
      </c>
      <c r="U48" s="271">
        <f t="shared" si="14"/>
        <v>265852</v>
      </c>
      <c r="V48" s="270">
        <f>VLOOKUP($A48,[5]MFP!$A$7:$E$139,5,FALSE)</f>
        <v>177.65798889780399</v>
      </c>
      <c r="W48" s="271">
        <f t="shared" si="5"/>
        <v>88829</v>
      </c>
      <c r="X48" s="271">
        <f t="shared" si="6"/>
        <v>25494</v>
      </c>
      <c r="Y48" s="271">
        <f t="shared" si="15"/>
        <v>114323</v>
      </c>
      <c r="Z48" s="270">
        <f t="shared" si="7"/>
        <v>389.99999999998499</v>
      </c>
      <c r="AA48" s="271">
        <f t="shared" si="7"/>
        <v>301171</v>
      </c>
      <c r="AB48" s="271">
        <f t="shared" si="7"/>
        <v>79004</v>
      </c>
      <c r="AC48" s="272">
        <f t="shared" si="7"/>
        <v>380175</v>
      </c>
      <c r="AD48" s="270">
        <f>VLOOKUP($A48,[5]MFP!$A$7:$E$139,4,FALSE)</f>
        <v>212.342011102181</v>
      </c>
      <c r="AE48" s="271">
        <f t="shared" si="16"/>
        <v>169874</v>
      </c>
      <c r="AF48" s="271">
        <f t="shared" si="17"/>
        <v>42808</v>
      </c>
      <c r="AG48" s="271">
        <f t="shared" si="18"/>
        <v>212682</v>
      </c>
      <c r="AH48" s="270">
        <f>VLOOKUP($A48,[5]MFP!$A$7:$E$139,5,FALSE)</f>
        <v>177.65798889780399</v>
      </c>
      <c r="AI48" s="271">
        <f t="shared" si="19"/>
        <v>71063</v>
      </c>
      <c r="AJ48" s="271">
        <f t="shared" si="20"/>
        <v>20395</v>
      </c>
      <c r="AK48" s="271">
        <f t="shared" si="21"/>
        <v>91458</v>
      </c>
      <c r="AL48" s="270">
        <f t="shared" si="22"/>
        <v>389.99999999998499</v>
      </c>
      <c r="AM48" s="271">
        <f t="shared" si="22"/>
        <v>240937</v>
      </c>
      <c r="AN48" s="271">
        <f t="shared" si="22"/>
        <v>63203</v>
      </c>
      <c r="AO48" s="273">
        <f t="shared" si="22"/>
        <v>304140</v>
      </c>
      <c r="AP48" s="274">
        <f t="shared" si="9"/>
        <v>824305</v>
      </c>
    </row>
    <row r="49" spans="1:42" ht="15" customHeight="1" x14ac:dyDescent="0.2">
      <c r="A49" s="275">
        <v>43</v>
      </c>
      <c r="B49" s="260">
        <v>43</v>
      </c>
      <c r="C49" s="261" t="s">
        <v>173</v>
      </c>
      <c r="D49" s="262">
        <f>VLOOKUP(A49,[2]Template!$A$3:$G$133,7,FALSE)</f>
        <v>0</v>
      </c>
      <c r="E49" s="263">
        <f t="shared" si="1"/>
        <v>0</v>
      </c>
      <c r="F49" s="262"/>
      <c r="G49" s="264">
        <f t="shared" si="10"/>
        <v>0</v>
      </c>
      <c r="H49" s="262"/>
      <c r="I49" s="264">
        <f t="shared" si="11"/>
        <v>0</v>
      </c>
      <c r="J49" s="265">
        <f t="shared" si="2"/>
        <v>0</v>
      </c>
      <c r="K49" s="266"/>
      <c r="L49" s="267">
        <f>VLOOKUP($A49,'[3]21-22_4_Level 4'!$A$7:$F$139,6,FALSE)</f>
        <v>96521</v>
      </c>
      <c r="M49" s="268"/>
      <c r="N49" s="262">
        <f>VLOOKUP($A49,'[4]Feb MFP_SCA'!$B$4:$K$124,10,FALSE)</f>
        <v>1834</v>
      </c>
      <c r="O49" s="269">
        <f t="shared" si="12"/>
        <v>108206</v>
      </c>
      <c r="P49" s="264"/>
      <c r="Q49" s="269">
        <f t="shared" si="13"/>
        <v>108206</v>
      </c>
      <c r="R49" s="270">
        <f>VLOOKUP($A49,[5]MFP!$A$7:$E$139,4,FALSE)</f>
        <v>338.96666666400006</v>
      </c>
      <c r="S49" s="271">
        <f t="shared" si="3"/>
        <v>338967</v>
      </c>
      <c r="T49" s="271">
        <f t="shared" si="4"/>
        <v>85420</v>
      </c>
      <c r="U49" s="271">
        <f t="shared" si="14"/>
        <v>424387</v>
      </c>
      <c r="V49" s="270">
        <f>VLOOKUP($A49,[5]MFP!$A$7:$E$139,5,FALSE)</f>
        <v>273</v>
      </c>
      <c r="W49" s="271">
        <f t="shared" si="5"/>
        <v>136500</v>
      </c>
      <c r="X49" s="271">
        <f t="shared" si="6"/>
        <v>39176</v>
      </c>
      <c r="Y49" s="271">
        <f t="shared" si="15"/>
        <v>175676</v>
      </c>
      <c r="Z49" s="270">
        <f t="shared" si="7"/>
        <v>611.96666666400006</v>
      </c>
      <c r="AA49" s="271">
        <f t="shared" si="7"/>
        <v>475467</v>
      </c>
      <c r="AB49" s="271">
        <f t="shared" si="7"/>
        <v>124596</v>
      </c>
      <c r="AC49" s="272">
        <f t="shared" si="7"/>
        <v>600063</v>
      </c>
      <c r="AD49" s="270">
        <f>VLOOKUP($A49,[5]MFP!$A$7:$E$139,4,FALSE)</f>
        <v>338.96666666400006</v>
      </c>
      <c r="AE49" s="271">
        <f t="shared" si="16"/>
        <v>271173</v>
      </c>
      <c r="AF49" s="271">
        <f t="shared" si="17"/>
        <v>68336</v>
      </c>
      <c r="AG49" s="271">
        <f t="shared" si="18"/>
        <v>339509</v>
      </c>
      <c r="AH49" s="270">
        <f>VLOOKUP($A49,[5]MFP!$A$7:$E$139,5,FALSE)</f>
        <v>273</v>
      </c>
      <c r="AI49" s="271">
        <f t="shared" si="19"/>
        <v>109200</v>
      </c>
      <c r="AJ49" s="271">
        <f t="shared" si="20"/>
        <v>31340</v>
      </c>
      <c r="AK49" s="271">
        <f t="shared" si="21"/>
        <v>140540</v>
      </c>
      <c r="AL49" s="270">
        <f t="shared" si="22"/>
        <v>611.96666666400006</v>
      </c>
      <c r="AM49" s="271">
        <f t="shared" si="22"/>
        <v>380373</v>
      </c>
      <c r="AN49" s="271">
        <f t="shared" si="22"/>
        <v>99676</v>
      </c>
      <c r="AO49" s="273">
        <f t="shared" si="22"/>
        <v>480049</v>
      </c>
      <c r="AP49" s="274">
        <f t="shared" si="9"/>
        <v>1284839</v>
      </c>
    </row>
    <row r="50" spans="1:42" ht="15" customHeight="1" x14ac:dyDescent="0.2">
      <c r="A50" s="275">
        <v>44</v>
      </c>
      <c r="B50" s="260">
        <v>44</v>
      </c>
      <c r="C50" s="261" t="s">
        <v>174</v>
      </c>
      <c r="D50" s="262">
        <f>VLOOKUP(A50,[2]Template!$A$3:$G$133,7,FALSE)</f>
        <v>0</v>
      </c>
      <c r="E50" s="263">
        <f t="shared" si="1"/>
        <v>0</v>
      </c>
      <c r="F50" s="262"/>
      <c r="G50" s="264">
        <f t="shared" si="10"/>
        <v>0</v>
      </c>
      <c r="H50" s="262"/>
      <c r="I50" s="264">
        <f t="shared" si="11"/>
        <v>0</v>
      </c>
      <c r="J50" s="265">
        <f t="shared" si="2"/>
        <v>0</v>
      </c>
      <c r="K50" s="266"/>
      <c r="L50" s="267">
        <f>VLOOKUP($A50,'[3]21-22_4_Level 4'!$A$7:$F$139,6,FALSE)</f>
        <v>148396</v>
      </c>
      <c r="M50" s="268"/>
      <c r="N50" s="262">
        <f>VLOOKUP($A50,'[4]Feb MFP_SCA'!$B$4:$K$124,10,FALSE)</f>
        <v>3458</v>
      </c>
      <c r="O50" s="269">
        <f t="shared" si="12"/>
        <v>204022</v>
      </c>
      <c r="P50" s="264"/>
      <c r="Q50" s="269">
        <f t="shared" si="13"/>
        <v>204022</v>
      </c>
      <c r="R50" s="270">
        <f>VLOOKUP($A50,[5]MFP!$A$7:$E$139,4,FALSE)</f>
        <v>617.22115946257702</v>
      </c>
      <c r="S50" s="271">
        <f t="shared" si="3"/>
        <v>617221</v>
      </c>
      <c r="T50" s="271">
        <f t="shared" si="4"/>
        <v>155540</v>
      </c>
      <c r="U50" s="271">
        <f t="shared" si="14"/>
        <v>772761</v>
      </c>
      <c r="V50" s="270">
        <f>VLOOKUP($A50,[5]MFP!$A$7:$E$139,5,FALSE)</f>
        <v>301.00331611499803</v>
      </c>
      <c r="W50" s="271">
        <f t="shared" si="5"/>
        <v>150502</v>
      </c>
      <c r="X50" s="271">
        <f t="shared" si="6"/>
        <v>43194</v>
      </c>
      <c r="Y50" s="271">
        <f t="shared" si="15"/>
        <v>193696</v>
      </c>
      <c r="Z50" s="270">
        <f t="shared" si="7"/>
        <v>918.22447557757505</v>
      </c>
      <c r="AA50" s="271">
        <f t="shared" si="7"/>
        <v>767723</v>
      </c>
      <c r="AB50" s="271">
        <f t="shared" si="7"/>
        <v>198734</v>
      </c>
      <c r="AC50" s="272">
        <f t="shared" si="7"/>
        <v>966457</v>
      </c>
      <c r="AD50" s="270">
        <f>VLOOKUP($A50,[5]MFP!$A$7:$E$139,4,FALSE)</f>
        <v>617.22115946257702</v>
      </c>
      <c r="AE50" s="271">
        <f t="shared" si="16"/>
        <v>493777</v>
      </c>
      <c r="AF50" s="271">
        <f t="shared" si="17"/>
        <v>124432</v>
      </c>
      <c r="AG50" s="271">
        <f t="shared" si="18"/>
        <v>618209</v>
      </c>
      <c r="AH50" s="270">
        <f>VLOOKUP($A50,[5]MFP!$A$7:$E$139,5,FALSE)</f>
        <v>301.00331611499803</v>
      </c>
      <c r="AI50" s="271">
        <f t="shared" si="19"/>
        <v>120401</v>
      </c>
      <c r="AJ50" s="271">
        <f t="shared" si="20"/>
        <v>34555</v>
      </c>
      <c r="AK50" s="271">
        <f t="shared" si="21"/>
        <v>154956</v>
      </c>
      <c r="AL50" s="270">
        <f t="shared" si="22"/>
        <v>918.22447557757505</v>
      </c>
      <c r="AM50" s="271">
        <f t="shared" si="22"/>
        <v>614178</v>
      </c>
      <c r="AN50" s="271">
        <f t="shared" si="22"/>
        <v>158987</v>
      </c>
      <c r="AO50" s="273">
        <f t="shared" si="22"/>
        <v>773165</v>
      </c>
      <c r="AP50" s="274">
        <f t="shared" si="9"/>
        <v>2092040</v>
      </c>
    </row>
    <row r="51" spans="1:42" ht="15" customHeight="1" x14ac:dyDescent="0.2">
      <c r="A51" s="276">
        <v>45</v>
      </c>
      <c r="B51" s="277">
        <v>45</v>
      </c>
      <c r="C51" s="278" t="s">
        <v>175</v>
      </c>
      <c r="D51" s="279">
        <f>VLOOKUP(A51,[2]Template!$A$3:$G$133,7,FALSE)</f>
        <v>0</v>
      </c>
      <c r="E51" s="280">
        <f t="shared" si="1"/>
        <v>0</v>
      </c>
      <c r="F51" s="279"/>
      <c r="G51" s="281">
        <f t="shared" si="10"/>
        <v>0</v>
      </c>
      <c r="H51" s="279"/>
      <c r="I51" s="281">
        <f t="shared" si="11"/>
        <v>0</v>
      </c>
      <c r="J51" s="282">
        <f t="shared" si="2"/>
        <v>0</v>
      </c>
      <c r="K51" s="283"/>
      <c r="L51" s="284">
        <f>VLOOKUP($A51,'[3]21-22_4_Level 4'!$A$7:$F$139,6,FALSE)</f>
        <v>174605</v>
      </c>
      <c r="M51" s="285"/>
      <c r="N51" s="279">
        <f>VLOOKUP($A51,'[4]Feb MFP_SCA'!$B$4:$K$124,10,FALSE)</f>
        <v>4253</v>
      </c>
      <c r="O51" s="286">
        <f t="shared" si="12"/>
        <v>250927</v>
      </c>
      <c r="P51" s="281"/>
      <c r="Q51" s="286">
        <f t="shared" si="13"/>
        <v>250927</v>
      </c>
      <c r="R51" s="287">
        <f>VLOOKUP($A51,[5]MFP!$A$7:$E$139,4,FALSE)</f>
        <v>1010.4999999999959</v>
      </c>
      <c r="S51" s="288">
        <f t="shared" si="3"/>
        <v>1010500</v>
      </c>
      <c r="T51" s="288">
        <f t="shared" si="4"/>
        <v>254646</v>
      </c>
      <c r="U51" s="288">
        <f t="shared" si="14"/>
        <v>1265146</v>
      </c>
      <c r="V51" s="287">
        <f>VLOOKUP($A51,[5]MFP!$A$7:$E$139,5,FALSE)</f>
        <v>695</v>
      </c>
      <c r="W51" s="288">
        <f t="shared" si="5"/>
        <v>347500</v>
      </c>
      <c r="X51" s="288">
        <f t="shared" si="6"/>
        <v>99733</v>
      </c>
      <c r="Y51" s="288">
        <f t="shared" si="15"/>
        <v>447233</v>
      </c>
      <c r="Z51" s="287">
        <f t="shared" si="7"/>
        <v>1705.4999999999959</v>
      </c>
      <c r="AA51" s="288">
        <f t="shared" si="7"/>
        <v>1358000</v>
      </c>
      <c r="AB51" s="288">
        <f t="shared" si="7"/>
        <v>354379</v>
      </c>
      <c r="AC51" s="289">
        <f t="shared" si="7"/>
        <v>1712379</v>
      </c>
      <c r="AD51" s="287">
        <f>VLOOKUP($A51,[5]MFP!$A$7:$E$139,4,FALSE)</f>
        <v>1010.4999999999959</v>
      </c>
      <c r="AE51" s="288">
        <f t="shared" si="16"/>
        <v>808400</v>
      </c>
      <c r="AF51" s="288">
        <f t="shared" si="17"/>
        <v>203717</v>
      </c>
      <c r="AG51" s="288">
        <f t="shared" si="18"/>
        <v>1012117</v>
      </c>
      <c r="AH51" s="287">
        <f>VLOOKUP($A51,[5]MFP!$A$7:$E$139,5,FALSE)</f>
        <v>695</v>
      </c>
      <c r="AI51" s="288">
        <f t="shared" si="19"/>
        <v>278000</v>
      </c>
      <c r="AJ51" s="288">
        <f t="shared" si="20"/>
        <v>79786</v>
      </c>
      <c r="AK51" s="288">
        <f t="shared" si="21"/>
        <v>357786</v>
      </c>
      <c r="AL51" s="287">
        <f t="shared" si="22"/>
        <v>1705.4999999999959</v>
      </c>
      <c r="AM51" s="288">
        <f t="shared" si="22"/>
        <v>1086400</v>
      </c>
      <c r="AN51" s="288">
        <f t="shared" si="22"/>
        <v>283503</v>
      </c>
      <c r="AO51" s="290">
        <f t="shared" si="22"/>
        <v>1369903</v>
      </c>
      <c r="AP51" s="291">
        <f t="shared" si="9"/>
        <v>3507814</v>
      </c>
    </row>
    <row r="52" spans="1:42" ht="15" customHeight="1" x14ac:dyDescent="0.2">
      <c r="A52" s="243">
        <v>46</v>
      </c>
      <c r="B52" s="244">
        <v>46</v>
      </c>
      <c r="C52" s="245" t="s">
        <v>176</v>
      </c>
      <c r="D52" s="246">
        <f>VLOOKUP(A52,[2]Template!$A$3:$G$133,7,FALSE)</f>
        <v>0</v>
      </c>
      <c r="E52" s="247">
        <f t="shared" si="1"/>
        <v>0</v>
      </c>
      <c r="F52" s="246"/>
      <c r="G52" s="248">
        <f t="shared" si="10"/>
        <v>0</v>
      </c>
      <c r="H52" s="246"/>
      <c r="I52" s="248">
        <f t="shared" si="11"/>
        <v>0</v>
      </c>
      <c r="J52" s="249">
        <f t="shared" si="2"/>
        <v>0</v>
      </c>
      <c r="K52" s="250"/>
      <c r="L52" s="251">
        <f>VLOOKUP($A52,'[3]21-22_4_Level 4'!$A$7:$F$139,6,FALSE)</f>
        <v>25000</v>
      </c>
      <c r="M52" s="252"/>
      <c r="N52" s="246">
        <f>VLOOKUP($A52,'[4]Feb MFP_SCA'!$B$4:$K$124,10,FALSE)</f>
        <v>512</v>
      </c>
      <c r="O52" s="253">
        <f t="shared" si="12"/>
        <v>30208</v>
      </c>
      <c r="P52" s="248"/>
      <c r="Q52" s="253">
        <f t="shared" si="13"/>
        <v>30208</v>
      </c>
      <c r="R52" s="254">
        <f>VLOOKUP($A52,[5]MFP!$A$7:$E$139,4,FALSE)</f>
        <v>89.759249588999992</v>
      </c>
      <c r="S52" s="255">
        <f t="shared" si="3"/>
        <v>89759</v>
      </c>
      <c r="T52" s="255">
        <f t="shared" si="4"/>
        <v>22619</v>
      </c>
      <c r="U52" s="255">
        <f t="shared" si="14"/>
        <v>112378</v>
      </c>
      <c r="V52" s="254">
        <f>VLOOKUP($A52,[5]MFP!$A$7:$E$139,5,FALSE)</f>
        <v>76</v>
      </c>
      <c r="W52" s="255">
        <f t="shared" si="5"/>
        <v>38000</v>
      </c>
      <c r="X52" s="255">
        <f t="shared" si="6"/>
        <v>10906</v>
      </c>
      <c r="Y52" s="255">
        <f t="shared" si="15"/>
        <v>48906</v>
      </c>
      <c r="Z52" s="254">
        <f t="shared" si="7"/>
        <v>165.75924958899998</v>
      </c>
      <c r="AA52" s="255">
        <f t="shared" si="7"/>
        <v>127759</v>
      </c>
      <c r="AB52" s="255">
        <f t="shared" si="7"/>
        <v>33525</v>
      </c>
      <c r="AC52" s="256">
        <f t="shared" si="7"/>
        <v>161284</v>
      </c>
      <c r="AD52" s="254">
        <f>VLOOKUP($A52,[5]MFP!$A$7:$E$139,4,FALSE)</f>
        <v>89.759249588999992</v>
      </c>
      <c r="AE52" s="255">
        <f t="shared" si="16"/>
        <v>71807</v>
      </c>
      <c r="AF52" s="255">
        <f t="shared" si="17"/>
        <v>18095</v>
      </c>
      <c r="AG52" s="255">
        <f t="shared" si="18"/>
        <v>89902</v>
      </c>
      <c r="AH52" s="254">
        <f>VLOOKUP($A52,[5]MFP!$A$7:$E$139,5,FALSE)</f>
        <v>76</v>
      </c>
      <c r="AI52" s="255">
        <f t="shared" si="19"/>
        <v>30400</v>
      </c>
      <c r="AJ52" s="255">
        <f t="shared" si="20"/>
        <v>8725</v>
      </c>
      <c r="AK52" s="255">
        <f t="shared" si="21"/>
        <v>39125</v>
      </c>
      <c r="AL52" s="254">
        <f t="shared" si="22"/>
        <v>165.75924958899998</v>
      </c>
      <c r="AM52" s="255">
        <f t="shared" si="22"/>
        <v>102207</v>
      </c>
      <c r="AN52" s="255">
        <f t="shared" si="22"/>
        <v>26820</v>
      </c>
      <c r="AO52" s="257">
        <f t="shared" si="22"/>
        <v>129027</v>
      </c>
      <c r="AP52" s="258">
        <f t="shared" si="9"/>
        <v>345519</v>
      </c>
    </row>
    <row r="53" spans="1:42" ht="15" customHeight="1" x14ac:dyDescent="0.2">
      <c r="A53" s="275">
        <v>47</v>
      </c>
      <c r="B53" s="260">
        <v>47</v>
      </c>
      <c r="C53" s="261" t="s">
        <v>177</v>
      </c>
      <c r="D53" s="262">
        <f>VLOOKUP(A53,[2]Template!$A$3:$G$133,7,FALSE)</f>
        <v>0</v>
      </c>
      <c r="E53" s="263">
        <f t="shared" si="1"/>
        <v>0</v>
      </c>
      <c r="F53" s="262"/>
      <c r="G53" s="264">
        <f t="shared" si="10"/>
        <v>0</v>
      </c>
      <c r="H53" s="262"/>
      <c r="I53" s="264">
        <f t="shared" si="11"/>
        <v>0</v>
      </c>
      <c r="J53" s="265">
        <f t="shared" si="2"/>
        <v>0</v>
      </c>
      <c r="K53" s="266"/>
      <c r="L53" s="267">
        <f>VLOOKUP($A53,'[3]21-22_4_Level 4'!$A$7:$F$139,6,FALSE)</f>
        <v>124356</v>
      </c>
      <c r="M53" s="268"/>
      <c r="N53" s="262">
        <f>VLOOKUP($A53,'[4]Feb MFP_SCA'!$B$4:$K$124,10,FALSE)</f>
        <v>1572</v>
      </c>
      <c r="O53" s="269">
        <f t="shared" si="12"/>
        <v>92748</v>
      </c>
      <c r="P53" s="264"/>
      <c r="Q53" s="269">
        <f t="shared" si="13"/>
        <v>92748</v>
      </c>
      <c r="R53" s="270">
        <f>VLOOKUP($A53,[5]MFP!$A$7:$E$139,4,FALSE)</f>
        <v>375.99999999999898</v>
      </c>
      <c r="S53" s="271">
        <f t="shared" si="3"/>
        <v>376000</v>
      </c>
      <c r="T53" s="271">
        <f t="shared" si="4"/>
        <v>94752</v>
      </c>
      <c r="U53" s="271">
        <f t="shared" si="14"/>
        <v>470752</v>
      </c>
      <c r="V53" s="270">
        <f>VLOOKUP($A53,[5]MFP!$A$7:$E$139,5,FALSE)</f>
        <v>154</v>
      </c>
      <c r="W53" s="271">
        <f t="shared" si="5"/>
        <v>77000</v>
      </c>
      <c r="X53" s="271">
        <f t="shared" si="6"/>
        <v>22099</v>
      </c>
      <c r="Y53" s="271">
        <f t="shared" si="15"/>
        <v>99099</v>
      </c>
      <c r="Z53" s="270">
        <f t="shared" si="7"/>
        <v>529.99999999999898</v>
      </c>
      <c r="AA53" s="271">
        <f t="shared" si="7"/>
        <v>453000</v>
      </c>
      <c r="AB53" s="271">
        <f t="shared" si="7"/>
        <v>116851</v>
      </c>
      <c r="AC53" s="272">
        <f t="shared" si="7"/>
        <v>569851</v>
      </c>
      <c r="AD53" s="270">
        <f>VLOOKUP($A53,[5]MFP!$A$7:$E$139,4,FALSE)</f>
        <v>375.99999999999898</v>
      </c>
      <c r="AE53" s="271">
        <f t="shared" si="16"/>
        <v>300800</v>
      </c>
      <c r="AF53" s="271">
        <f t="shared" si="17"/>
        <v>75802</v>
      </c>
      <c r="AG53" s="271">
        <f t="shared" si="18"/>
        <v>376602</v>
      </c>
      <c r="AH53" s="270">
        <f>VLOOKUP($A53,[5]MFP!$A$7:$E$139,5,FALSE)</f>
        <v>154</v>
      </c>
      <c r="AI53" s="271">
        <f t="shared" si="19"/>
        <v>61600</v>
      </c>
      <c r="AJ53" s="271">
        <f t="shared" si="20"/>
        <v>17679</v>
      </c>
      <c r="AK53" s="271">
        <f t="shared" si="21"/>
        <v>79279</v>
      </c>
      <c r="AL53" s="270">
        <f t="shared" si="22"/>
        <v>529.99999999999898</v>
      </c>
      <c r="AM53" s="271">
        <f t="shared" si="22"/>
        <v>362400</v>
      </c>
      <c r="AN53" s="271">
        <f t="shared" si="22"/>
        <v>93481</v>
      </c>
      <c r="AO53" s="273">
        <f t="shared" si="22"/>
        <v>455881</v>
      </c>
      <c r="AP53" s="274">
        <f t="shared" si="9"/>
        <v>1242836</v>
      </c>
    </row>
    <row r="54" spans="1:42" ht="15" customHeight="1" x14ac:dyDescent="0.2">
      <c r="A54" s="275">
        <v>48</v>
      </c>
      <c r="B54" s="260">
        <v>48</v>
      </c>
      <c r="C54" s="261" t="s">
        <v>178</v>
      </c>
      <c r="D54" s="262">
        <f>VLOOKUP(A54,[2]Template!$A$3:$G$133,7,FALSE)</f>
        <v>0</v>
      </c>
      <c r="E54" s="263">
        <f t="shared" si="1"/>
        <v>0</v>
      </c>
      <c r="F54" s="262"/>
      <c r="G54" s="264">
        <f t="shared" si="10"/>
        <v>0</v>
      </c>
      <c r="H54" s="262"/>
      <c r="I54" s="264">
        <f t="shared" si="11"/>
        <v>0</v>
      </c>
      <c r="J54" s="265">
        <f t="shared" si="2"/>
        <v>0</v>
      </c>
      <c r="K54" s="266"/>
      <c r="L54" s="267">
        <f>VLOOKUP($A54,'[3]21-22_4_Level 4'!$A$7:$F$139,6,FALSE)</f>
        <v>128694</v>
      </c>
      <c r="M54" s="268"/>
      <c r="N54" s="262">
        <f>VLOOKUP($A54,'[4]Feb MFP_SCA'!$B$4:$K$124,10,FALSE)</f>
        <v>2546</v>
      </c>
      <c r="O54" s="269">
        <f t="shared" si="12"/>
        <v>150214</v>
      </c>
      <c r="P54" s="264"/>
      <c r="Q54" s="269">
        <f t="shared" si="13"/>
        <v>150214</v>
      </c>
      <c r="R54" s="270">
        <f>VLOOKUP($A54,[5]MFP!$A$7:$E$139,4,FALSE)</f>
        <v>597.01528654899994</v>
      </c>
      <c r="S54" s="271">
        <f t="shared" si="3"/>
        <v>597015</v>
      </c>
      <c r="T54" s="271">
        <f t="shared" si="4"/>
        <v>150448</v>
      </c>
      <c r="U54" s="271">
        <f t="shared" si="14"/>
        <v>747463</v>
      </c>
      <c r="V54" s="270">
        <f>VLOOKUP($A54,[5]MFP!$A$7:$E$139,5,FALSE)</f>
        <v>324.20878657200001</v>
      </c>
      <c r="W54" s="271">
        <f t="shared" si="5"/>
        <v>162104</v>
      </c>
      <c r="X54" s="271">
        <f t="shared" si="6"/>
        <v>46524</v>
      </c>
      <c r="Y54" s="271">
        <f t="shared" si="15"/>
        <v>208628</v>
      </c>
      <c r="Z54" s="270">
        <f t="shared" si="7"/>
        <v>921.22407312099995</v>
      </c>
      <c r="AA54" s="271">
        <f t="shared" si="7"/>
        <v>759119</v>
      </c>
      <c r="AB54" s="271">
        <f t="shared" si="7"/>
        <v>196972</v>
      </c>
      <c r="AC54" s="272">
        <f t="shared" si="7"/>
        <v>956091</v>
      </c>
      <c r="AD54" s="270">
        <f>VLOOKUP($A54,[5]MFP!$A$7:$E$139,4,FALSE)</f>
        <v>597.01528654899994</v>
      </c>
      <c r="AE54" s="271">
        <f t="shared" si="16"/>
        <v>477612</v>
      </c>
      <c r="AF54" s="271">
        <f t="shared" si="17"/>
        <v>120358</v>
      </c>
      <c r="AG54" s="271">
        <f t="shared" si="18"/>
        <v>597970</v>
      </c>
      <c r="AH54" s="270">
        <f>VLOOKUP($A54,[5]MFP!$A$7:$E$139,5,FALSE)</f>
        <v>324.20878657200001</v>
      </c>
      <c r="AI54" s="271">
        <f t="shared" si="19"/>
        <v>129684</v>
      </c>
      <c r="AJ54" s="271">
        <f t="shared" si="20"/>
        <v>37219</v>
      </c>
      <c r="AK54" s="271">
        <f t="shared" si="21"/>
        <v>166903</v>
      </c>
      <c r="AL54" s="270">
        <f t="shared" si="22"/>
        <v>921.22407312099995</v>
      </c>
      <c r="AM54" s="271">
        <f t="shared" si="22"/>
        <v>607296</v>
      </c>
      <c r="AN54" s="271">
        <f t="shared" si="22"/>
        <v>157577</v>
      </c>
      <c r="AO54" s="273">
        <f t="shared" si="22"/>
        <v>764873</v>
      </c>
      <c r="AP54" s="274">
        <f t="shared" si="9"/>
        <v>1999872</v>
      </c>
    </row>
    <row r="55" spans="1:42" ht="15" customHeight="1" x14ac:dyDescent="0.2">
      <c r="A55" s="275">
        <v>49</v>
      </c>
      <c r="B55" s="260">
        <v>49</v>
      </c>
      <c r="C55" s="261" t="s">
        <v>179</v>
      </c>
      <c r="D55" s="262">
        <f>VLOOKUP(A55,[2]Template!$A$3:$G$133,7,FALSE)</f>
        <v>0</v>
      </c>
      <c r="E55" s="263">
        <f t="shared" si="1"/>
        <v>0</v>
      </c>
      <c r="F55" s="262"/>
      <c r="G55" s="264">
        <f t="shared" si="10"/>
        <v>0</v>
      </c>
      <c r="H55" s="262"/>
      <c r="I55" s="264">
        <f t="shared" si="11"/>
        <v>0</v>
      </c>
      <c r="J55" s="265">
        <f t="shared" si="2"/>
        <v>0</v>
      </c>
      <c r="K55" s="266"/>
      <c r="L55" s="267">
        <f>VLOOKUP($A55,'[3]21-22_4_Level 4'!$A$7:$F$139,6,FALSE)</f>
        <v>517487</v>
      </c>
      <c r="M55" s="268"/>
      <c r="N55" s="262">
        <f>VLOOKUP($A55,'[4]Feb MFP_SCA'!$B$4:$K$124,10,FALSE)</f>
        <v>5400</v>
      </c>
      <c r="O55" s="269">
        <f t="shared" si="12"/>
        <v>318600</v>
      </c>
      <c r="P55" s="264"/>
      <c r="Q55" s="269">
        <f t="shared" si="13"/>
        <v>318600</v>
      </c>
      <c r="R55" s="270">
        <f>VLOOKUP($A55,[5]MFP!$A$7:$E$139,4,FALSE)</f>
        <v>1127.97</v>
      </c>
      <c r="S55" s="271">
        <f t="shared" si="3"/>
        <v>1127970</v>
      </c>
      <c r="T55" s="271">
        <f t="shared" si="4"/>
        <v>284248</v>
      </c>
      <c r="U55" s="271">
        <f t="shared" si="14"/>
        <v>1412218</v>
      </c>
      <c r="V55" s="270">
        <f>VLOOKUP($A55,[5]MFP!$A$7:$E$139,5,FALSE)</f>
        <v>681</v>
      </c>
      <c r="W55" s="271">
        <f t="shared" si="5"/>
        <v>340500</v>
      </c>
      <c r="X55" s="271">
        <f t="shared" si="6"/>
        <v>97724</v>
      </c>
      <c r="Y55" s="271">
        <f t="shared" si="15"/>
        <v>438224</v>
      </c>
      <c r="Z55" s="270">
        <f t="shared" si="7"/>
        <v>1808.97</v>
      </c>
      <c r="AA55" s="271">
        <f t="shared" si="7"/>
        <v>1468470</v>
      </c>
      <c r="AB55" s="271">
        <f t="shared" si="7"/>
        <v>381972</v>
      </c>
      <c r="AC55" s="272">
        <f t="shared" si="7"/>
        <v>1850442</v>
      </c>
      <c r="AD55" s="270">
        <f>VLOOKUP($A55,[5]MFP!$A$7:$E$139,4,FALSE)</f>
        <v>1127.97</v>
      </c>
      <c r="AE55" s="271">
        <f t="shared" si="16"/>
        <v>902376</v>
      </c>
      <c r="AF55" s="271">
        <f t="shared" si="17"/>
        <v>227399</v>
      </c>
      <c r="AG55" s="271">
        <f t="shared" si="18"/>
        <v>1129775</v>
      </c>
      <c r="AH55" s="270">
        <f>VLOOKUP($A55,[5]MFP!$A$7:$E$139,5,FALSE)</f>
        <v>681</v>
      </c>
      <c r="AI55" s="271">
        <f t="shared" si="19"/>
        <v>272400</v>
      </c>
      <c r="AJ55" s="271">
        <f t="shared" si="20"/>
        <v>78179</v>
      </c>
      <c r="AK55" s="271">
        <f t="shared" si="21"/>
        <v>350579</v>
      </c>
      <c r="AL55" s="270">
        <f t="shared" si="22"/>
        <v>1808.97</v>
      </c>
      <c r="AM55" s="271">
        <f t="shared" si="22"/>
        <v>1174776</v>
      </c>
      <c r="AN55" s="271">
        <f t="shared" si="22"/>
        <v>305578</v>
      </c>
      <c r="AO55" s="273">
        <f t="shared" si="22"/>
        <v>1480354</v>
      </c>
      <c r="AP55" s="274">
        <f t="shared" si="9"/>
        <v>4166883</v>
      </c>
    </row>
    <row r="56" spans="1:42" ht="15" customHeight="1" x14ac:dyDescent="0.2">
      <c r="A56" s="276">
        <v>50</v>
      </c>
      <c r="B56" s="277">
        <v>50</v>
      </c>
      <c r="C56" s="278" t="s">
        <v>180</v>
      </c>
      <c r="D56" s="279">
        <f>VLOOKUP(A56,[2]Template!$A$3:$G$133,7,FALSE)</f>
        <v>8</v>
      </c>
      <c r="E56" s="280">
        <f t="shared" si="1"/>
        <v>168000</v>
      </c>
      <c r="F56" s="279"/>
      <c r="G56" s="281">
        <f t="shared" si="10"/>
        <v>0</v>
      </c>
      <c r="H56" s="279"/>
      <c r="I56" s="281">
        <f t="shared" si="11"/>
        <v>0</v>
      </c>
      <c r="J56" s="282">
        <f t="shared" si="2"/>
        <v>0</v>
      </c>
      <c r="K56" s="283"/>
      <c r="L56" s="284">
        <f>VLOOKUP($A56,'[3]21-22_4_Level 4'!$A$7:$F$139,6,FALSE)</f>
        <v>182377</v>
      </c>
      <c r="M56" s="285"/>
      <c r="N56" s="279">
        <f>VLOOKUP($A56,'[4]Feb MFP_SCA'!$B$4:$K$124,10,FALSE)</f>
        <v>3259</v>
      </c>
      <c r="O56" s="286">
        <f t="shared" si="12"/>
        <v>192281</v>
      </c>
      <c r="P56" s="281"/>
      <c r="Q56" s="286">
        <f t="shared" si="13"/>
        <v>192281</v>
      </c>
      <c r="R56" s="287">
        <f>VLOOKUP($A56,[5]MFP!$A$7:$E$139,4,FALSE)</f>
        <v>564.70130739593299</v>
      </c>
      <c r="S56" s="288">
        <f t="shared" si="3"/>
        <v>564701</v>
      </c>
      <c r="T56" s="288">
        <f t="shared" si="4"/>
        <v>142305</v>
      </c>
      <c r="U56" s="288">
        <f t="shared" si="14"/>
        <v>707006</v>
      </c>
      <c r="V56" s="287">
        <f>VLOOKUP($A56,[5]MFP!$A$7:$E$139,5,FALSE)</f>
        <v>384.99911376800003</v>
      </c>
      <c r="W56" s="288">
        <f t="shared" si="5"/>
        <v>192500</v>
      </c>
      <c r="X56" s="288">
        <f t="shared" si="6"/>
        <v>55248</v>
      </c>
      <c r="Y56" s="288">
        <f t="shared" si="15"/>
        <v>247748</v>
      </c>
      <c r="Z56" s="287">
        <f t="shared" si="7"/>
        <v>949.70042116393302</v>
      </c>
      <c r="AA56" s="288">
        <f t="shared" si="7"/>
        <v>757201</v>
      </c>
      <c r="AB56" s="288">
        <f t="shared" si="7"/>
        <v>197553</v>
      </c>
      <c r="AC56" s="289">
        <f t="shared" si="7"/>
        <v>954754</v>
      </c>
      <c r="AD56" s="287">
        <f>VLOOKUP($A56,[5]MFP!$A$7:$E$139,4,FALSE)</f>
        <v>564.70130739593299</v>
      </c>
      <c r="AE56" s="288">
        <f t="shared" si="16"/>
        <v>451761</v>
      </c>
      <c r="AF56" s="288">
        <f t="shared" si="17"/>
        <v>113844</v>
      </c>
      <c r="AG56" s="288">
        <f t="shared" si="18"/>
        <v>565605</v>
      </c>
      <c r="AH56" s="287">
        <f>VLOOKUP($A56,[5]MFP!$A$7:$E$139,5,FALSE)</f>
        <v>384.99911376800003</v>
      </c>
      <c r="AI56" s="288">
        <f t="shared" si="19"/>
        <v>154000</v>
      </c>
      <c r="AJ56" s="288">
        <f t="shared" si="20"/>
        <v>44198</v>
      </c>
      <c r="AK56" s="288">
        <f t="shared" si="21"/>
        <v>198198</v>
      </c>
      <c r="AL56" s="287">
        <f t="shared" si="22"/>
        <v>949.70042116393302</v>
      </c>
      <c r="AM56" s="288">
        <f t="shared" si="22"/>
        <v>605761</v>
      </c>
      <c r="AN56" s="288">
        <f t="shared" si="22"/>
        <v>158042</v>
      </c>
      <c r="AO56" s="290">
        <f t="shared" si="22"/>
        <v>763803</v>
      </c>
      <c r="AP56" s="291">
        <f t="shared" si="9"/>
        <v>2261215</v>
      </c>
    </row>
    <row r="57" spans="1:42" ht="15" customHeight="1" x14ac:dyDescent="0.2">
      <c r="A57" s="243">
        <v>51</v>
      </c>
      <c r="B57" s="244">
        <v>51</v>
      </c>
      <c r="C57" s="245" t="s">
        <v>181</v>
      </c>
      <c r="D57" s="246">
        <f>VLOOKUP(A57,[2]Template!$A$3:$G$133,7,FALSE)</f>
        <v>0</v>
      </c>
      <c r="E57" s="247">
        <f t="shared" si="1"/>
        <v>0</v>
      </c>
      <c r="F57" s="246"/>
      <c r="G57" s="248">
        <f t="shared" si="10"/>
        <v>0</v>
      </c>
      <c r="H57" s="246"/>
      <c r="I57" s="248">
        <f t="shared" si="11"/>
        <v>0</v>
      </c>
      <c r="J57" s="249">
        <f t="shared" si="2"/>
        <v>0</v>
      </c>
      <c r="K57" s="250"/>
      <c r="L57" s="251">
        <f>VLOOKUP($A57,'[3]21-22_4_Level 4'!$A$7:$F$139,6,FALSE)</f>
        <v>386986</v>
      </c>
      <c r="M57" s="252"/>
      <c r="N57" s="246">
        <f>VLOOKUP($A57,'[4]Feb MFP_SCA'!$B$4:$K$124,10,FALSE)</f>
        <v>3613</v>
      </c>
      <c r="O57" s="253">
        <f t="shared" si="12"/>
        <v>213167</v>
      </c>
      <c r="P57" s="248"/>
      <c r="Q57" s="253">
        <f t="shared" si="13"/>
        <v>213167</v>
      </c>
      <c r="R57" s="254">
        <f>VLOOKUP($A57,[5]MFP!$A$7:$E$139,4,FALSE)</f>
        <v>728.6</v>
      </c>
      <c r="S57" s="255">
        <f t="shared" si="3"/>
        <v>728600</v>
      </c>
      <c r="T57" s="255">
        <f t="shared" si="4"/>
        <v>183607</v>
      </c>
      <c r="U57" s="255">
        <f t="shared" si="14"/>
        <v>912207</v>
      </c>
      <c r="V57" s="254">
        <f>VLOOKUP($A57,[5]MFP!$A$7:$E$139,5,FALSE)</f>
        <v>484.20178570400003</v>
      </c>
      <c r="W57" s="255">
        <f t="shared" si="5"/>
        <v>242101</v>
      </c>
      <c r="X57" s="255">
        <f t="shared" si="6"/>
        <v>69483</v>
      </c>
      <c r="Y57" s="255">
        <f t="shared" si="15"/>
        <v>311584</v>
      </c>
      <c r="Z57" s="254">
        <f t="shared" si="7"/>
        <v>1212.8017857039999</v>
      </c>
      <c r="AA57" s="255">
        <f t="shared" si="7"/>
        <v>970701</v>
      </c>
      <c r="AB57" s="255">
        <f t="shared" si="7"/>
        <v>253090</v>
      </c>
      <c r="AC57" s="256">
        <f t="shared" si="7"/>
        <v>1223791</v>
      </c>
      <c r="AD57" s="254">
        <f>VLOOKUP($A57,[5]MFP!$A$7:$E$139,4,FALSE)</f>
        <v>728.6</v>
      </c>
      <c r="AE57" s="255">
        <f t="shared" si="16"/>
        <v>582880</v>
      </c>
      <c r="AF57" s="255">
        <f t="shared" si="17"/>
        <v>146886</v>
      </c>
      <c r="AG57" s="255">
        <f t="shared" si="18"/>
        <v>729766</v>
      </c>
      <c r="AH57" s="254">
        <f>VLOOKUP($A57,[5]MFP!$A$7:$E$139,5,FALSE)</f>
        <v>484.20178570400003</v>
      </c>
      <c r="AI57" s="255">
        <f t="shared" si="19"/>
        <v>193681</v>
      </c>
      <c r="AJ57" s="255">
        <f t="shared" si="20"/>
        <v>55586</v>
      </c>
      <c r="AK57" s="255">
        <f t="shared" si="21"/>
        <v>249267</v>
      </c>
      <c r="AL57" s="254">
        <f t="shared" si="22"/>
        <v>1212.8017857039999</v>
      </c>
      <c r="AM57" s="255">
        <f t="shared" si="22"/>
        <v>776561</v>
      </c>
      <c r="AN57" s="255">
        <f t="shared" si="22"/>
        <v>202472</v>
      </c>
      <c r="AO57" s="257">
        <f t="shared" si="22"/>
        <v>979033</v>
      </c>
      <c r="AP57" s="258">
        <f t="shared" si="9"/>
        <v>2802977</v>
      </c>
    </row>
    <row r="58" spans="1:42" ht="15" customHeight="1" x14ac:dyDescent="0.2">
      <c r="A58" s="275">
        <v>52</v>
      </c>
      <c r="B58" s="260">
        <v>52</v>
      </c>
      <c r="C58" s="261" t="s">
        <v>182</v>
      </c>
      <c r="D58" s="262">
        <f>VLOOKUP(A58,[2]Template!$A$3:$G$133,7,FALSE)</f>
        <v>0</v>
      </c>
      <c r="E58" s="263">
        <f t="shared" si="1"/>
        <v>0</v>
      </c>
      <c r="F58" s="262"/>
      <c r="G58" s="264">
        <f t="shared" si="10"/>
        <v>0</v>
      </c>
      <c r="H58" s="262"/>
      <c r="I58" s="264">
        <f t="shared" si="11"/>
        <v>0</v>
      </c>
      <c r="J58" s="265">
        <f t="shared" si="2"/>
        <v>0</v>
      </c>
      <c r="K58" s="266"/>
      <c r="L58" s="267">
        <f>VLOOKUP($A58,'[3]21-22_4_Level 4'!$A$7:$F$139,6,FALSE)</f>
        <v>674017</v>
      </c>
      <c r="M58" s="268"/>
      <c r="N58" s="262">
        <f>VLOOKUP($A58,'[4]Feb MFP_SCA'!$B$4:$K$124,10,FALSE)</f>
        <v>17204</v>
      </c>
      <c r="O58" s="269">
        <f t="shared" si="12"/>
        <v>1015036</v>
      </c>
      <c r="P58" s="264"/>
      <c r="Q58" s="269">
        <f t="shared" si="13"/>
        <v>1015036</v>
      </c>
      <c r="R58" s="270">
        <f>VLOOKUP($A58,[5]MFP!$A$7:$E$139,4,FALSE)</f>
        <v>3440.72351585977</v>
      </c>
      <c r="S58" s="271">
        <f t="shared" si="3"/>
        <v>3440724</v>
      </c>
      <c r="T58" s="271">
        <f t="shared" si="4"/>
        <v>867062</v>
      </c>
      <c r="U58" s="271">
        <f t="shared" si="14"/>
        <v>4307786</v>
      </c>
      <c r="V58" s="270">
        <f>VLOOKUP($A58,[5]MFP!$A$7:$E$139,5,FALSE)</f>
        <v>2360.6795526649757</v>
      </c>
      <c r="W58" s="271">
        <f t="shared" si="5"/>
        <v>1180340</v>
      </c>
      <c r="X58" s="271">
        <f t="shared" si="6"/>
        <v>338758</v>
      </c>
      <c r="Y58" s="271">
        <f t="shared" si="15"/>
        <v>1519098</v>
      </c>
      <c r="Z58" s="270">
        <f t="shared" si="7"/>
        <v>5801.4030685247453</v>
      </c>
      <c r="AA58" s="271">
        <f t="shared" si="7"/>
        <v>4621064</v>
      </c>
      <c r="AB58" s="271">
        <f t="shared" si="7"/>
        <v>1205820</v>
      </c>
      <c r="AC58" s="272">
        <f t="shared" si="7"/>
        <v>5826884</v>
      </c>
      <c r="AD58" s="270">
        <f>VLOOKUP($A58,[5]MFP!$A$7:$E$139,4,FALSE)</f>
        <v>3440.72351585977</v>
      </c>
      <c r="AE58" s="271">
        <f t="shared" si="16"/>
        <v>2752579</v>
      </c>
      <c r="AF58" s="271">
        <f t="shared" si="17"/>
        <v>693650</v>
      </c>
      <c r="AG58" s="271">
        <f t="shared" si="18"/>
        <v>3446229</v>
      </c>
      <c r="AH58" s="270">
        <f>VLOOKUP($A58,[5]MFP!$A$7:$E$139,5,FALSE)</f>
        <v>2360.6795526649757</v>
      </c>
      <c r="AI58" s="271">
        <f t="shared" si="19"/>
        <v>944272</v>
      </c>
      <c r="AJ58" s="271">
        <f t="shared" si="20"/>
        <v>271006</v>
      </c>
      <c r="AK58" s="271">
        <f t="shared" si="21"/>
        <v>1215278</v>
      </c>
      <c r="AL58" s="270">
        <f t="shared" si="22"/>
        <v>5801.4030685247453</v>
      </c>
      <c r="AM58" s="271">
        <f t="shared" si="22"/>
        <v>3696851</v>
      </c>
      <c r="AN58" s="271">
        <f t="shared" si="22"/>
        <v>964656</v>
      </c>
      <c r="AO58" s="273">
        <f t="shared" si="22"/>
        <v>4661507</v>
      </c>
      <c r="AP58" s="274">
        <f t="shared" si="9"/>
        <v>12177444</v>
      </c>
    </row>
    <row r="59" spans="1:42" ht="15" customHeight="1" x14ac:dyDescent="0.2">
      <c r="A59" s="275">
        <v>53</v>
      </c>
      <c r="B59" s="260">
        <v>53</v>
      </c>
      <c r="C59" s="261" t="s">
        <v>183</v>
      </c>
      <c r="D59" s="262">
        <f>VLOOKUP(A59,[2]Template!$A$3:$G$133,7,FALSE)</f>
        <v>0</v>
      </c>
      <c r="E59" s="263">
        <f t="shared" si="1"/>
        <v>0</v>
      </c>
      <c r="F59" s="262"/>
      <c r="G59" s="264">
        <f t="shared" si="10"/>
        <v>0</v>
      </c>
      <c r="H59" s="262"/>
      <c r="I59" s="264">
        <f t="shared" si="11"/>
        <v>0</v>
      </c>
      <c r="J59" s="265">
        <f t="shared" si="2"/>
        <v>0</v>
      </c>
      <c r="K59" s="266"/>
      <c r="L59" s="267">
        <f>VLOOKUP($A59,'[3]21-22_4_Level 4'!$A$7:$F$139,6,FALSE)</f>
        <v>584003</v>
      </c>
      <c r="M59" s="268"/>
      <c r="N59" s="262">
        <f>VLOOKUP($A59,'[4]Feb MFP_SCA'!$B$4:$K$124,10,FALSE)</f>
        <v>8708</v>
      </c>
      <c r="O59" s="269">
        <f t="shared" si="12"/>
        <v>513772</v>
      </c>
      <c r="P59" s="264"/>
      <c r="Q59" s="269">
        <f t="shared" si="13"/>
        <v>513772</v>
      </c>
      <c r="R59" s="270">
        <f>VLOOKUP($A59,[5]MFP!$A$7:$E$139,4,FALSE)</f>
        <v>1642.4027328314594</v>
      </c>
      <c r="S59" s="271">
        <f t="shared" si="3"/>
        <v>1642403</v>
      </c>
      <c r="T59" s="271">
        <f t="shared" si="4"/>
        <v>413886</v>
      </c>
      <c r="U59" s="271">
        <f t="shared" si="14"/>
        <v>2056289</v>
      </c>
      <c r="V59" s="270">
        <f>VLOOKUP($A59,[5]MFP!$A$7:$E$139,5,FALSE)</f>
        <v>1148.6712077663849</v>
      </c>
      <c r="W59" s="271">
        <f t="shared" si="5"/>
        <v>574336</v>
      </c>
      <c r="X59" s="271">
        <f t="shared" si="6"/>
        <v>164834</v>
      </c>
      <c r="Y59" s="271">
        <f t="shared" si="15"/>
        <v>739170</v>
      </c>
      <c r="Z59" s="270">
        <f t="shared" si="7"/>
        <v>2791.0739405978443</v>
      </c>
      <c r="AA59" s="271">
        <f t="shared" si="7"/>
        <v>2216739</v>
      </c>
      <c r="AB59" s="271">
        <f t="shared" si="7"/>
        <v>578720</v>
      </c>
      <c r="AC59" s="272">
        <f t="shared" si="7"/>
        <v>2795459</v>
      </c>
      <c r="AD59" s="270">
        <f>VLOOKUP($A59,[5]MFP!$A$7:$E$139,4,FALSE)</f>
        <v>1642.4027328314594</v>
      </c>
      <c r="AE59" s="271">
        <f t="shared" si="16"/>
        <v>1313922</v>
      </c>
      <c r="AF59" s="271">
        <f t="shared" si="17"/>
        <v>331108</v>
      </c>
      <c r="AG59" s="271">
        <f t="shared" si="18"/>
        <v>1645030</v>
      </c>
      <c r="AH59" s="270">
        <f>VLOOKUP($A59,[5]MFP!$A$7:$E$139,5,FALSE)</f>
        <v>1148.6712077663849</v>
      </c>
      <c r="AI59" s="271">
        <f t="shared" si="19"/>
        <v>459468</v>
      </c>
      <c r="AJ59" s="271">
        <f t="shared" si="20"/>
        <v>131867</v>
      </c>
      <c r="AK59" s="271">
        <f t="shared" si="21"/>
        <v>591335</v>
      </c>
      <c r="AL59" s="270">
        <f t="shared" si="22"/>
        <v>2791.0739405978443</v>
      </c>
      <c r="AM59" s="271">
        <f t="shared" si="22"/>
        <v>1773390</v>
      </c>
      <c r="AN59" s="271">
        <f t="shared" si="22"/>
        <v>462975</v>
      </c>
      <c r="AO59" s="273">
        <f t="shared" si="22"/>
        <v>2236365</v>
      </c>
      <c r="AP59" s="274">
        <f t="shared" si="9"/>
        <v>6129599</v>
      </c>
    </row>
    <row r="60" spans="1:42" ht="15" customHeight="1" x14ac:dyDescent="0.2">
      <c r="A60" s="275">
        <v>54</v>
      </c>
      <c r="B60" s="260">
        <v>54</v>
      </c>
      <c r="C60" s="261" t="s">
        <v>184</v>
      </c>
      <c r="D60" s="262">
        <f>VLOOKUP(A60,[2]Template!$A$3:$G$133,7,FALSE)</f>
        <v>0</v>
      </c>
      <c r="E60" s="263">
        <f t="shared" si="1"/>
        <v>0</v>
      </c>
      <c r="F60" s="262"/>
      <c r="G60" s="264">
        <f t="shared" si="10"/>
        <v>0</v>
      </c>
      <c r="H60" s="262"/>
      <c r="I60" s="264">
        <f t="shared" si="11"/>
        <v>0</v>
      </c>
      <c r="J60" s="265">
        <f t="shared" si="2"/>
        <v>0</v>
      </c>
      <c r="K60" s="266"/>
      <c r="L60" s="267">
        <f>VLOOKUP($A60,'[3]21-22_4_Level 4'!$A$7:$F$139,6,FALSE)</f>
        <v>25000</v>
      </c>
      <c r="M60" s="268"/>
      <c r="N60" s="262">
        <f>VLOOKUP($A60,'[4]Feb MFP_SCA'!$B$4:$K$124,10,FALSE)</f>
        <v>162</v>
      </c>
      <c r="O60" s="269">
        <f t="shared" si="12"/>
        <v>9558</v>
      </c>
      <c r="P60" s="264"/>
      <c r="Q60" s="269">
        <f t="shared" si="13"/>
        <v>9558</v>
      </c>
      <c r="R60" s="270">
        <f>VLOOKUP($A60,[5]MFP!$A$7:$E$139,4,FALSE)</f>
        <v>44.909999999990006</v>
      </c>
      <c r="S60" s="271">
        <f t="shared" si="3"/>
        <v>44910</v>
      </c>
      <c r="T60" s="271">
        <f t="shared" si="4"/>
        <v>11317</v>
      </c>
      <c r="U60" s="271">
        <f t="shared" si="14"/>
        <v>56227</v>
      </c>
      <c r="V60" s="270">
        <f>VLOOKUP($A60,[5]MFP!$A$7:$E$139,5,FALSE)</f>
        <v>45.228769841259997</v>
      </c>
      <c r="W60" s="271">
        <f t="shared" si="5"/>
        <v>22614</v>
      </c>
      <c r="X60" s="271">
        <f t="shared" si="6"/>
        <v>6490</v>
      </c>
      <c r="Y60" s="271">
        <f t="shared" si="15"/>
        <v>29104</v>
      </c>
      <c r="Z60" s="270">
        <f t="shared" si="7"/>
        <v>90.138769841249996</v>
      </c>
      <c r="AA60" s="271">
        <f t="shared" si="7"/>
        <v>67524</v>
      </c>
      <c r="AB60" s="271">
        <f t="shared" si="7"/>
        <v>17807</v>
      </c>
      <c r="AC60" s="272">
        <f t="shared" si="7"/>
        <v>85331</v>
      </c>
      <c r="AD60" s="270">
        <f>VLOOKUP($A60,[5]MFP!$A$7:$E$139,4,FALSE)</f>
        <v>44.909999999990006</v>
      </c>
      <c r="AE60" s="271">
        <f t="shared" si="16"/>
        <v>35928</v>
      </c>
      <c r="AF60" s="271">
        <f t="shared" si="17"/>
        <v>9054</v>
      </c>
      <c r="AG60" s="271">
        <f t="shared" si="18"/>
        <v>44982</v>
      </c>
      <c r="AH60" s="270">
        <f>VLOOKUP($A60,[5]MFP!$A$7:$E$139,5,FALSE)</f>
        <v>45.228769841259997</v>
      </c>
      <c r="AI60" s="271">
        <f t="shared" si="19"/>
        <v>18092</v>
      </c>
      <c r="AJ60" s="271">
        <f t="shared" si="20"/>
        <v>5192</v>
      </c>
      <c r="AK60" s="271">
        <f t="shared" si="21"/>
        <v>23284</v>
      </c>
      <c r="AL60" s="270">
        <f t="shared" si="22"/>
        <v>90.138769841249996</v>
      </c>
      <c r="AM60" s="271">
        <f t="shared" si="22"/>
        <v>54020</v>
      </c>
      <c r="AN60" s="271">
        <f t="shared" si="22"/>
        <v>14246</v>
      </c>
      <c r="AO60" s="273">
        <f t="shared" si="22"/>
        <v>68266</v>
      </c>
      <c r="AP60" s="274">
        <f t="shared" si="9"/>
        <v>188155</v>
      </c>
    </row>
    <row r="61" spans="1:42" ht="15" customHeight="1" x14ac:dyDescent="0.2">
      <c r="A61" s="276">
        <v>55</v>
      </c>
      <c r="B61" s="277">
        <v>55</v>
      </c>
      <c r="C61" s="278" t="s">
        <v>185</v>
      </c>
      <c r="D61" s="279">
        <f>VLOOKUP(A61,[2]Template!$A$3:$G$133,7,FALSE)</f>
        <v>0</v>
      </c>
      <c r="E61" s="280">
        <f t="shared" si="1"/>
        <v>0</v>
      </c>
      <c r="F61" s="279"/>
      <c r="G61" s="281">
        <f t="shared" si="10"/>
        <v>0</v>
      </c>
      <c r="H61" s="279"/>
      <c r="I61" s="281">
        <f t="shared" si="11"/>
        <v>0</v>
      </c>
      <c r="J61" s="282">
        <f t="shared" si="2"/>
        <v>0</v>
      </c>
      <c r="K61" s="283"/>
      <c r="L61" s="284">
        <f>VLOOKUP($A61,'[3]21-22_4_Level 4'!$A$7:$F$139,6,FALSE)</f>
        <v>345956</v>
      </c>
      <c r="M61" s="285"/>
      <c r="N61" s="279">
        <f>VLOOKUP($A61,'[4]Feb MFP_SCA'!$B$4:$K$124,10,FALSE)</f>
        <v>7230</v>
      </c>
      <c r="O61" s="286">
        <f t="shared" si="12"/>
        <v>426570</v>
      </c>
      <c r="P61" s="281"/>
      <c r="Q61" s="286">
        <f t="shared" si="13"/>
        <v>426570</v>
      </c>
      <c r="R61" s="287">
        <f>VLOOKUP($A61,[5]MFP!$A$7:$E$139,4,FALSE)</f>
        <v>1346.4080634309962</v>
      </c>
      <c r="S61" s="288">
        <f t="shared" si="3"/>
        <v>1346408</v>
      </c>
      <c r="T61" s="288">
        <f t="shared" si="4"/>
        <v>339295</v>
      </c>
      <c r="U61" s="288">
        <f t="shared" si="14"/>
        <v>1685703</v>
      </c>
      <c r="V61" s="287">
        <f>VLOOKUP($A61,[5]MFP!$A$7:$E$139,5,FALSE)</f>
        <v>796.23488168499989</v>
      </c>
      <c r="W61" s="288">
        <f t="shared" si="5"/>
        <v>398117</v>
      </c>
      <c r="X61" s="288">
        <f t="shared" si="6"/>
        <v>114260</v>
      </c>
      <c r="Y61" s="288">
        <f t="shared" si="15"/>
        <v>512377</v>
      </c>
      <c r="Z61" s="287">
        <f t="shared" si="7"/>
        <v>2142.6429451159961</v>
      </c>
      <c r="AA61" s="288">
        <f t="shared" si="7"/>
        <v>1744525</v>
      </c>
      <c r="AB61" s="288">
        <f t="shared" si="7"/>
        <v>453555</v>
      </c>
      <c r="AC61" s="289">
        <f t="shared" si="7"/>
        <v>2198080</v>
      </c>
      <c r="AD61" s="287">
        <f>VLOOKUP($A61,[5]MFP!$A$7:$E$139,4,FALSE)</f>
        <v>1346.4080634309962</v>
      </c>
      <c r="AE61" s="288">
        <f t="shared" si="16"/>
        <v>1077126</v>
      </c>
      <c r="AF61" s="288">
        <f t="shared" si="17"/>
        <v>271436</v>
      </c>
      <c r="AG61" s="288">
        <f t="shared" si="18"/>
        <v>1348562</v>
      </c>
      <c r="AH61" s="287">
        <f>VLOOKUP($A61,[5]MFP!$A$7:$E$139,5,FALSE)</f>
        <v>796.23488168499989</v>
      </c>
      <c r="AI61" s="288">
        <f t="shared" si="19"/>
        <v>318494</v>
      </c>
      <c r="AJ61" s="288">
        <f t="shared" si="20"/>
        <v>91408</v>
      </c>
      <c r="AK61" s="288">
        <f t="shared" si="21"/>
        <v>409902</v>
      </c>
      <c r="AL61" s="287">
        <f t="shared" si="22"/>
        <v>2142.6429451159961</v>
      </c>
      <c r="AM61" s="288">
        <f t="shared" si="22"/>
        <v>1395620</v>
      </c>
      <c r="AN61" s="288">
        <f t="shared" si="22"/>
        <v>362844</v>
      </c>
      <c r="AO61" s="290">
        <f t="shared" si="22"/>
        <v>1758464</v>
      </c>
      <c r="AP61" s="291">
        <f t="shared" si="9"/>
        <v>4729070</v>
      </c>
    </row>
    <row r="62" spans="1:42" ht="15" customHeight="1" x14ac:dyDescent="0.2">
      <c r="A62" s="243">
        <v>56</v>
      </c>
      <c r="B62" s="244">
        <v>56</v>
      </c>
      <c r="C62" s="245" t="s">
        <v>186</v>
      </c>
      <c r="D62" s="246">
        <f>VLOOKUP(A62,[2]Template!$A$3:$G$133,7,FALSE)</f>
        <v>0</v>
      </c>
      <c r="E62" s="247">
        <f t="shared" si="1"/>
        <v>0</v>
      </c>
      <c r="F62" s="246"/>
      <c r="G62" s="248">
        <f t="shared" si="10"/>
        <v>0</v>
      </c>
      <c r="H62" s="246"/>
      <c r="I62" s="248">
        <f t="shared" si="11"/>
        <v>0</v>
      </c>
      <c r="J62" s="249">
        <f t="shared" si="2"/>
        <v>0</v>
      </c>
      <c r="K62" s="250"/>
      <c r="L62" s="251">
        <f>VLOOKUP($A62,'[3]21-22_4_Level 4'!$A$7:$F$139,6,FALSE)</f>
        <v>44826</v>
      </c>
      <c r="M62" s="252"/>
      <c r="N62" s="246">
        <f>VLOOKUP($A62,'[4]Feb MFP_SCA'!$B$4:$K$124,10,FALSE)</f>
        <v>874</v>
      </c>
      <c r="O62" s="253">
        <f t="shared" si="12"/>
        <v>51566</v>
      </c>
      <c r="P62" s="248"/>
      <c r="Q62" s="253">
        <f t="shared" si="13"/>
        <v>51566</v>
      </c>
      <c r="R62" s="254">
        <f>VLOOKUP($A62,[5]MFP!$A$7:$E$139,4,FALSE)</f>
        <v>151.54942460620799</v>
      </c>
      <c r="S62" s="255">
        <f t="shared" si="3"/>
        <v>151549</v>
      </c>
      <c r="T62" s="255">
        <f t="shared" si="4"/>
        <v>38190</v>
      </c>
      <c r="U62" s="255">
        <f t="shared" si="14"/>
        <v>189739</v>
      </c>
      <c r="V62" s="254">
        <f>VLOOKUP($A62,[5]MFP!$A$7:$E$139,5,FALSE)</f>
        <v>123.38270051176299</v>
      </c>
      <c r="W62" s="255">
        <f t="shared" si="5"/>
        <v>61691</v>
      </c>
      <c r="X62" s="255">
        <f t="shared" si="6"/>
        <v>17705</v>
      </c>
      <c r="Y62" s="255">
        <f t="shared" si="15"/>
        <v>79396</v>
      </c>
      <c r="Z62" s="254">
        <f t="shared" si="7"/>
        <v>274.932125117971</v>
      </c>
      <c r="AA62" s="255">
        <f t="shared" si="7"/>
        <v>213240</v>
      </c>
      <c r="AB62" s="255">
        <f t="shared" si="7"/>
        <v>55895</v>
      </c>
      <c r="AC62" s="256">
        <f t="shared" si="7"/>
        <v>269135</v>
      </c>
      <c r="AD62" s="254">
        <f>VLOOKUP($A62,[5]MFP!$A$7:$E$139,4,FALSE)</f>
        <v>151.54942460620799</v>
      </c>
      <c r="AE62" s="255">
        <f t="shared" si="16"/>
        <v>121240</v>
      </c>
      <c r="AF62" s="255">
        <f t="shared" si="17"/>
        <v>30552</v>
      </c>
      <c r="AG62" s="255">
        <f t="shared" si="18"/>
        <v>151792</v>
      </c>
      <c r="AH62" s="254">
        <f>VLOOKUP($A62,[5]MFP!$A$7:$E$139,5,FALSE)</f>
        <v>123.38270051176299</v>
      </c>
      <c r="AI62" s="255">
        <f t="shared" si="19"/>
        <v>49353</v>
      </c>
      <c r="AJ62" s="255">
        <f t="shared" si="20"/>
        <v>14164</v>
      </c>
      <c r="AK62" s="255">
        <f t="shared" si="21"/>
        <v>63517</v>
      </c>
      <c r="AL62" s="254">
        <f t="shared" si="22"/>
        <v>274.932125117971</v>
      </c>
      <c r="AM62" s="255">
        <f t="shared" si="22"/>
        <v>170593</v>
      </c>
      <c r="AN62" s="255">
        <f t="shared" si="22"/>
        <v>44716</v>
      </c>
      <c r="AO62" s="257">
        <f t="shared" si="22"/>
        <v>215309</v>
      </c>
      <c r="AP62" s="258">
        <f t="shared" si="9"/>
        <v>580836</v>
      </c>
    </row>
    <row r="63" spans="1:42" ht="15" customHeight="1" x14ac:dyDescent="0.2">
      <c r="A63" s="275">
        <v>57</v>
      </c>
      <c r="B63" s="260">
        <v>57</v>
      </c>
      <c r="C63" s="261" t="s">
        <v>187</v>
      </c>
      <c r="D63" s="262">
        <f>VLOOKUP(A63,[2]Template!$A$3:$G$133,7,FALSE)</f>
        <v>2</v>
      </c>
      <c r="E63" s="263">
        <f t="shared" si="1"/>
        <v>42000</v>
      </c>
      <c r="F63" s="262"/>
      <c r="G63" s="264">
        <f t="shared" si="10"/>
        <v>0</v>
      </c>
      <c r="H63" s="262"/>
      <c r="I63" s="264">
        <f t="shared" si="11"/>
        <v>0</v>
      </c>
      <c r="J63" s="265">
        <f t="shared" si="2"/>
        <v>0</v>
      </c>
      <c r="K63" s="266"/>
      <c r="L63" s="267">
        <f>VLOOKUP($A63,'[3]21-22_4_Level 4'!$A$7:$F$139,6,FALSE)</f>
        <v>149752</v>
      </c>
      <c r="M63" s="268"/>
      <c r="N63" s="262">
        <f>VLOOKUP($A63,'[4]Feb MFP_SCA'!$B$4:$K$124,10,FALSE)</f>
        <v>4076</v>
      </c>
      <c r="O63" s="269">
        <f t="shared" si="12"/>
        <v>240484</v>
      </c>
      <c r="P63" s="264"/>
      <c r="Q63" s="269">
        <f t="shared" si="13"/>
        <v>240484</v>
      </c>
      <c r="R63" s="270">
        <f>VLOOKUP($A63,[5]MFP!$A$7:$E$139,4,FALSE)</f>
        <v>791.99264061408087</v>
      </c>
      <c r="S63" s="271">
        <f t="shared" si="3"/>
        <v>791993</v>
      </c>
      <c r="T63" s="271">
        <f t="shared" si="4"/>
        <v>199582</v>
      </c>
      <c r="U63" s="271">
        <f t="shared" si="14"/>
        <v>991575</v>
      </c>
      <c r="V63" s="270">
        <f>VLOOKUP($A63,[5]MFP!$A$7:$E$139,5,FALSE)</f>
        <v>447.12361110799895</v>
      </c>
      <c r="W63" s="271">
        <f t="shared" si="5"/>
        <v>223562</v>
      </c>
      <c r="X63" s="271">
        <f t="shared" si="6"/>
        <v>64162</v>
      </c>
      <c r="Y63" s="271">
        <f t="shared" si="15"/>
        <v>287724</v>
      </c>
      <c r="Z63" s="270">
        <f t="shared" si="7"/>
        <v>1239.1162517220798</v>
      </c>
      <c r="AA63" s="271">
        <f t="shared" si="7"/>
        <v>1015555</v>
      </c>
      <c r="AB63" s="271">
        <f t="shared" si="7"/>
        <v>263744</v>
      </c>
      <c r="AC63" s="272">
        <f t="shared" si="7"/>
        <v>1279299</v>
      </c>
      <c r="AD63" s="270">
        <f>VLOOKUP($A63,[5]MFP!$A$7:$E$139,4,FALSE)</f>
        <v>791.99264061408087</v>
      </c>
      <c r="AE63" s="271">
        <f t="shared" si="16"/>
        <v>633594</v>
      </c>
      <c r="AF63" s="271">
        <f t="shared" si="17"/>
        <v>159666</v>
      </c>
      <c r="AG63" s="271">
        <f t="shared" si="18"/>
        <v>793260</v>
      </c>
      <c r="AH63" s="270">
        <f>VLOOKUP($A63,[5]MFP!$A$7:$E$139,5,FALSE)</f>
        <v>447.12361110799895</v>
      </c>
      <c r="AI63" s="271">
        <f t="shared" si="19"/>
        <v>178849</v>
      </c>
      <c r="AJ63" s="271">
        <f t="shared" si="20"/>
        <v>51330</v>
      </c>
      <c r="AK63" s="271">
        <f t="shared" si="21"/>
        <v>230179</v>
      </c>
      <c r="AL63" s="270">
        <f t="shared" si="22"/>
        <v>1239.1162517220798</v>
      </c>
      <c r="AM63" s="271">
        <f t="shared" si="22"/>
        <v>812443</v>
      </c>
      <c r="AN63" s="271">
        <f t="shared" si="22"/>
        <v>210996</v>
      </c>
      <c r="AO63" s="273">
        <f t="shared" si="22"/>
        <v>1023439</v>
      </c>
      <c r="AP63" s="274">
        <f t="shared" si="9"/>
        <v>2734974</v>
      </c>
    </row>
    <row r="64" spans="1:42" ht="15" customHeight="1" x14ac:dyDescent="0.2">
      <c r="A64" s="275">
        <v>58</v>
      </c>
      <c r="B64" s="260">
        <v>58</v>
      </c>
      <c r="C64" s="261" t="s">
        <v>188</v>
      </c>
      <c r="D64" s="262">
        <f>VLOOKUP(A64,[2]Template!$A$3:$G$133,7,FALSE)</f>
        <v>0</v>
      </c>
      <c r="E64" s="263">
        <f t="shared" si="1"/>
        <v>0</v>
      </c>
      <c r="F64" s="262"/>
      <c r="G64" s="264">
        <f t="shared" si="10"/>
        <v>0</v>
      </c>
      <c r="H64" s="262"/>
      <c r="I64" s="264">
        <f t="shared" si="11"/>
        <v>0</v>
      </c>
      <c r="J64" s="265">
        <f t="shared" si="2"/>
        <v>0</v>
      </c>
      <c r="K64" s="266"/>
      <c r="L64" s="267">
        <f>VLOOKUP($A64,'[3]21-22_4_Level 4'!$A$7:$F$139,6,FALSE)</f>
        <v>123452</v>
      </c>
      <c r="M64" s="268"/>
      <c r="N64" s="262">
        <f>VLOOKUP($A64,'[4]Feb MFP_SCA'!$B$4:$K$124,10,FALSE)</f>
        <v>3202</v>
      </c>
      <c r="O64" s="269">
        <f t="shared" si="12"/>
        <v>188918</v>
      </c>
      <c r="P64" s="264"/>
      <c r="Q64" s="269">
        <f t="shared" si="13"/>
        <v>188918</v>
      </c>
      <c r="R64" s="270">
        <f>VLOOKUP($A64,[5]MFP!$A$7:$E$139,4,FALSE)</f>
        <v>626.99999999989109</v>
      </c>
      <c r="S64" s="271">
        <f t="shared" si="3"/>
        <v>627000</v>
      </c>
      <c r="T64" s="271">
        <f t="shared" si="4"/>
        <v>158004</v>
      </c>
      <c r="U64" s="271">
        <f t="shared" si="14"/>
        <v>785004</v>
      </c>
      <c r="V64" s="270">
        <f>VLOOKUP($A64,[5]MFP!$A$7:$E$139,5,FALSE)</f>
        <v>465.99999999997397</v>
      </c>
      <c r="W64" s="271">
        <f t="shared" si="5"/>
        <v>233000</v>
      </c>
      <c r="X64" s="271">
        <f t="shared" si="6"/>
        <v>66871</v>
      </c>
      <c r="Y64" s="271">
        <f t="shared" si="15"/>
        <v>299871</v>
      </c>
      <c r="Z64" s="270">
        <f t="shared" si="7"/>
        <v>1092.9999999998649</v>
      </c>
      <c r="AA64" s="271">
        <f t="shared" si="7"/>
        <v>860000</v>
      </c>
      <c r="AB64" s="271">
        <f t="shared" si="7"/>
        <v>224875</v>
      </c>
      <c r="AC64" s="272">
        <f t="shared" si="7"/>
        <v>1084875</v>
      </c>
      <c r="AD64" s="270">
        <f>VLOOKUP($A64,[5]MFP!$A$7:$E$139,4,FALSE)</f>
        <v>626.99999999989109</v>
      </c>
      <c r="AE64" s="271">
        <f t="shared" si="16"/>
        <v>501600</v>
      </c>
      <c r="AF64" s="271">
        <f t="shared" si="17"/>
        <v>126403</v>
      </c>
      <c r="AG64" s="271">
        <f t="shared" si="18"/>
        <v>628003</v>
      </c>
      <c r="AH64" s="270">
        <f>VLOOKUP($A64,[5]MFP!$A$7:$E$139,5,FALSE)</f>
        <v>465.99999999997397</v>
      </c>
      <c r="AI64" s="271">
        <f t="shared" si="19"/>
        <v>186400</v>
      </c>
      <c r="AJ64" s="271">
        <f t="shared" si="20"/>
        <v>53497</v>
      </c>
      <c r="AK64" s="271">
        <f t="shared" si="21"/>
        <v>239897</v>
      </c>
      <c r="AL64" s="270">
        <f t="shared" si="22"/>
        <v>1092.9999999998649</v>
      </c>
      <c r="AM64" s="271">
        <f t="shared" si="22"/>
        <v>688000</v>
      </c>
      <c r="AN64" s="271">
        <f t="shared" si="22"/>
        <v>179900</v>
      </c>
      <c r="AO64" s="273">
        <f t="shared" si="22"/>
        <v>867900</v>
      </c>
      <c r="AP64" s="274">
        <f t="shared" si="9"/>
        <v>2265145</v>
      </c>
    </row>
    <row r="65" spans="1:42" ht="15" customHeight="1" x14ac:dyDescent="0.2">
      <c r="A65" s="275">
        <v>59</v>
      </c>
      <c r="B65" s="260">
        <v>59</v>
      </c>
      <c r="C65" s="261" t="s">
        <v>189</v>
      </c>
      <c r="D65" s="262">
        <f>VLOOKUP(A65,[2]Template!$A$3:$G$133,7,FALSE)</f>
        <v>0</v>
      </c>
      <c r="E65" s="263">
        <f t="shared" si="1"/>
        <v>0</v>
      </c>
      <c r="F65" s="262"/>
      <c r="G65" s="264">
        <f t="shared" si="10"/>
        <v>0</v>
      </c>
      <c r="H65" s="262"/>
      <c r="I65" s="264">
        <f t="shared" si="11"/>
        <v>0</v>
      </c>
      <c r="J65" s="265">
        <f t="shared" si="2"/>
        <v>0</v>
      </c>
      <c r="K65" s="266"/>
      <c r="L65" s="267">
        <f>VLOOKUP($A65,'[3]21-22_4_Level 4'!$A$7:$F$139,6,FALSE)</f>
        <v>165025</v>
      </c>
      <c r="M65" s="268"/>
      <c r="N65" s="262">
        <f>VLOOKUP($A65,'[4]Feb MFP_SCA'!$B$4:$K$124,10,FALSE)</f>
        <v>2295</v>
      </c>
      <c r="O65" s="269">
        <f t="shared" si="12"/>
        <v>135405</v>
      </c>
      <c r="P65" s="264"/>
      <c r="Q65" s="269">
        <f t="shared" si="13"/>
        <v>135405</v>
      </c>
      <c r="R65" s="270">
        <f>VLOOKUP($A65,[5]MFP!$A$7:$E$139,4,FALSE)</f>
        <v>422.39512589498094</v>
      </c>
      <c r="S65" s="271">
        <f t="shared" si="3"/>
        <v>422395</v>
      </c>
      <c r="T65" s="271">
        <f t="shared" si="4"/>
        <v>106444</v>
      </c>
      <c r="U65" s="271">
        <f t="shared" si="14"/>
        <v>528839</v>
      </c>
      <c r="V65" s="270">
        <f>VLOOKUP($A65,[5]MFP!$A$7:$E$139,5,FALSE)</f>
        <v>306.02272649500003</v>
      </c>
      <c r="W65" s="271">
        <f t="shared" si="5"/>
        <v>153011</v>
      </c>
      <c r="X65" s="271">
        <f t="shared" si="6"/>
        <v>43914</v>
      </c>
      <c r="Y65" s="271">
        <f t="shared" si="15"/>
        <v>196925</v>
      </c>
      <c r="Z65" s="270">
        <f t="shared" si="7"/>
        <v>728.41785238998091</v>
      </c>
      <c r="AA65" s="271">
        <f t="shared" si="7"/>
        <v>575406</v>
      </c>
      <c r="AB65" s="271">
        <f t="shared" si="7"/>
        <v>150358</v>
      </c>
      <c r="AC65" s="272">
        <f t="shared" si="7"/>
        <v>725764</v>
      </c>
      <c r="AD65" s="270">
        <f>VLOOKUP($A65,[5]MFP!$A$7:$E$139,4,FALSE)</f>
        <v>422.39512589498094</v>
      </c>
      <c r="AE65" s="271">
        <f t="shared" si="16"/>
        <v>337916</v>
      </c>
      <c r="AF65" s="271">
        <f t="shared" si="17"/>
        <v>85155</v>
      </c>
      <c r="AG65" s="271">
        <f t="shared" si="18"/>
        <v>423071</v>
      </c>
      <c r="AH65" s="270">
        <f>VLOOKUP($A65,[5]MFP!$A$7:$E$139,5,FALSE)</f>
        <v>306.02272649500003</v>
      </c>
      <c r="AI65" s="271">
        <f t="shared" si="19"/>
        <v>122409</v>
      </c>
      <c r="AJ65" s="271">
        <f t="shared" si="20"/>
        <v>35131</v>
      </c>
      <c r="AK65" s="271">
        <f t="shared" si="21"/>
        <v>157540</v>
      </c>
      <c r="AL65" s="270">
        <f t="shared" si="22"/>
        <v>728.41785238998091</v>
      </c>
      <c r="AM65" s="271">
        <f t="shared" si="22"/>
        <v>460325</v>
      </c>
      <c r="AN65" s="271">
        <f t="shared" si="22"/>
        <v>120286</v>
      </c>
      <c r="AO65" s="273">
        <f t="shared" si="22"/>
        <v>580611</v>
      </c>
      <c r="AP65" s="274">
        <f t="shared" si="9"/>
        <v>1606805</v>
      </c>
    </row>
    <row r="66" spans="1:42" ht="15" customHeight="1" x14ac:dyDescent="0.2">
      <c r="A66" s="276">
        <v>60</v>
      </c>
      <c r="B66" s="277">
        <v>60</v>
      </c>
      <c r="C66" s="278" t="s">
        <v>190</v>
      </c>
      <c r="D66" s="279">
        <f>VLOOKUP(A66,[2]Template!$A$3:$G$133,7,FALSE)</f>
        <v>0</v>
      </c>
      <c r="E66" s="280">
        <f t="shared" si="1"/>
        <v>0</v>
      </c>
      <c r="F66" s="279"/>
      <c r="G66" s="281">
        <f t="shared" si="10"/>
        <v>0</v>
      </c>
      <c r="H66" s="279"/>
      <c r="I66" s="281">
        <f t="shared" si="11"/>
        <v>0</v>
      </c>
      <c r="J66" s="282">
        <f t="shared" si="2"/>
        <v>0</v>
      </c>
      <c r="K66" s="283"/>
      <c r="L66" s="284">
        <f>VLOOKUP($A66,'[3]21-22_4_Level 4'!$A$7:$F$139,6,FALSE)</f>
        <v>140081</v>
      </c>
      <c r="M66" s="285"/>
      <c r="N66" s="279">
        <f>VLOOKUP($A66,'[4]Feb MFP_SCA'!$B$4:$K$124,10,FALSE)</f>
        <v>2621</v>
      </c>
      <c r="O66" s="286">
        <f t="shared" si="12"/>
        <v>154639</v>
      </c>
      <c r="P66" s="281"/>
      <c r="Q66" s="286">
        <f t="shared" si="13"/>
        <v>154639</v>
      </c>
      <c r="R66" s="287">
        <f>VLOOKUP($A66,[5]MFP!$A$7:$E$139,4,FALSE)</f>
        <v>438.49999999998795</v>
      </c>
      <c r="S66" s="288">
        <f t="shared" si="3"/>
        <v>438500</v>
      </c>
      <c r="T66" s="288">
        <f t="shared" si="4"/>
        <v>110502</v>
      </c>
      <c r="U66" s="288">
        <f t="shared" si="14"/>
        <v>549002</v>
      </c>
      <c r="V66" s="287">
        <f>VLOOKUP($A66,[5]MFP!$A$7:$E$139,5,FALSE)</f>
        <v>323.99999999999898</v>
      </c>
      <c r="W66" s="288">
        <f t="shared" si="5"/>
        <v>162000</v>
      </c>
      <c r="X66" s="288">
        <f t="shared" si="6"/>
        <v>46494</v>
      </c>
      <c r="Y66" s="288">
        <f t="shared" si="15"/>
        <v>208494</v>
      </c>
      <c r="Z66" s="287">
        <f t="shared" si="7"/>
        <v>762.49999999998693</v>
      </c>
      <c r="AA66" s="288">
        <f t="shared" si="7"/>
        <v>600500</v>
      </c>
      <c r="AB66" s="288">
        <f t="shared" si="7"/>
        <v>156996</v>
      </c>
      <c r="AC66" s="289">
        <f t="shared" si="7"/>
        <v>757496</v>
      </c>
      <c r="AD66" s="287">
        <f>VLOOKUP($A66,[5]MFP!$A$7:$E$139,4,FALSE)</f>
        <v>438.49999999998795</v>
      </c>
      <c r="AE66" s="288">
        <f t="shared" si="16"/>
        <v>350800</v>
      </c>
      <c r="AF66" s="288">
        <f t="shared" si="17"/>
        <v>88402</v>
      </c>
      <c r="AG66" s="288">
        <f t="shared" si="18"/>
        <v>439202</v>
      </c>
      <c r="AH66" s="287">
        <f>VLOOKUP($A66,[5]MFP!$A$7:$E$139,5,FALSE)</f>
        <v>323.99999999999898</v>
      </c>
      <c r="AI66" s="288">
        <f t="shared" si="19"/>
        <v>129600</v>
      </c>
      <c r="AJ66" s="288">
        <f t="shared" si="20"/>
        <v>37195</v>
      </c>
      <c r="AK66" s="288">
        <f t="shared" si="21"/>
        <v>166795</v>
      </c>
      <c r="AL66" s="287">
        <f t="shared" si="22"/>
        <v>762.49999999998693</v>
      </c>
      <c r="AM66" s="288">
        <f t="shared" si="22"/>
        <v>480400</v>
      </c>
      <c r="AN66" s="288">
        <f t="shared" si="22"/>
        <v>125597</v>
      </c>
      <c r="AO66" s="290">
        <f t="shared" si="22"/>
        <v>605997</v>
      </c>
      <c r="AP66" s="291">
        <f t="shared" si="9"/>
        <v>1658213</v>
      </c>
    </row>
    <row r="67" spans="1:42" ht="15" customHeight="1" x14ac:dyDescent="0.2">
      <c r="A67" s="243">
        <v>61</v>
      </c>
      <c r="B67" s="244">
        <v>61</v>
      </c>
      <c r="C67" s="245" t="s">
        <v>191</v>
      </c>
      <c r="D67" s="246">
        <f>VLOOKUP(A67,[2]Template!$A$3:$G$133,7,FALSE)</f>
        <v>0</v>
      </c>
      <c r="E67" s="247">
        <f t="shared" si="1"/>
        <v>0</v>
      </c>
      <c r="F67" s="246"/>
      <c r="G67" s="248">
        <f t="shared" si="10"/>
        <v>0</v>
      </c>
      <c r="H67" s="246"/>
      <c r="I67" s="248">
        <f t="shared" si="11"/>
        <v>0</v>
      </c>
      <c r="J67" s="249">
        <f t="shared" si="2"/>
        <v>0</v>
      </c>
      <c r="K67" s="250"/>
      <c r="L67" s="251">
        <f>VLOOKUP($A67,'[3]21-22_4_Level 4'!$A$7:$F$139,6,FALSE)</f>
        <v>89291</v>
      </c>
      <c r="M67" s="252"/>
      <c r="N67" s="246">
        <f>VLOOKUP($A67,'[4]Feb MFP_SCA'!$B$4:$K$124,10,FALSE)</f>
        <v>1683</v>
      </c>
      <c r="O67" s="253">
        <f t="shared" si="12"/>
        <v>99297</v>
      </c>
      <c r="P67" s="248"/>
      <c r="Q67" s="253">
        <f t="shared" si="13"/>
        <v>99297</v>
      </c>
      <c r="R67" s="254">
        <f>VLOOKUP($A67,[5]MFP!$A$7:$E$139,4,FALSE)</f>
        <v>411.21666666599401</v>
      </c>
      <c r="S67" s="255">
        <f t="shared" si="3"/>
        <v>411217</v>
      </c>
      <c r="T67" s="255">
        <f t="shared" si="4"/>
        <v>103627</v>
      </c>
      <c r="U67" s="255">
        <f t="shared" si="14"/>
        <v>514844</v>
      </c>
      <c r="V67" s="254">
        <f>VLOOKUP($A67,[5]MFP!$A$7:$E$139,5,FALSE)</f>
        <v>199</v>
      </c>
      <c r="W67" s="255">
        <f t="shared" si="5"/>
        <v>99500</v>
      </c>
      <c r="X67" s="255">
        <f t="shared" si="6"/>
        <v>28557</v>
      </c>
      <c r="Y67" s="255">
        <f t="shared" si="15"/>
        <v>128057</v>
      </c>
      <c r="Z67" s="254">
        <f t="shared" si="7"/>
        <v>610.21666666599401</v>
      </c>
      <c r="AA67" s="255">
        <f t="shared" si="7"/>
        <v>510717</v>
      </c>
      <c r="AB67" s="255">
        <f t="shared" si="7"/>
        <v>132184</v>
      </c>
      <c r="AC67" s="256">
        <f t="shared" si="7"/>
        <v>642901</v>
      </c>
      <c r="AD67" s="254">
        <f>VLOOKUP($A67,[5]MFP!$A$7:$E$139,4,FALSE)</f>
        <v>411.21666666599401</v>
      </c>
      <c r="AE67" s="255">
        <f t="shared" si="16"/>
        <v>328973</v>
      </c>
      <c r="AF67" s="255">
        <f t="shared" si="17"/>
        <v>82901</v>
      </c>
      <c r="AG67" s="255">
        <f t="shared" si="18"/>
        <v>411874</v>
      </c>
      <c r="AH67" s="254">
        <f>VLOOKUP($A67,[5]MFP!$A$7:$E$139,5,FALSE)</f>
        <v>199</v>
      </c>
      <c r="AI67" s="255">
        <f t="shared" si="19"/>
        <v>79600</v>
      </c>
      <c r="AJ67" s="255">
        <f t="shared" si="20"/>
        <v>22845</v>
      </c>
      <c r="AK67" s="255">
        <f t="shared" si="21"/>
        <v>102445</v>
      </c>
      <c r="AL67" s="254">
        <f t="shared" si="22"/>
        <v>610.21666666599401</v>
      </c>
      <c r="AM67" s="255">
        <f t="shared" si="22"/>
        <v>408573</v>
      </c>
      <c r="AN67" s="255">
        <f t="shared" si="22"/>
        <v>105746</v>
      </c>
      <c r="AO67" s="257">
        <f t="shared" si="22"/>
        <v>514319</v>
      </c>
      <c r="AP67" s="258">
        <f t="shared" si="9"/>
        <v>1345808</v>
      </c>
    </row>
    <row r="68" spans="1:42" ht="15" customHeight="1" x14ac:dyDescent="0.2">
      <c r="A68" s="275">
        <v>62</v>
      </c>
      <c r="B68" s="260">
        <v>62</v>
      </c>
      <c r="C68" s="261" t="s">
        <v>192</v>
      </c>
      <c r="D68" s="262">
        <f>VLOOKUP(A68,[2]Template!$A$3:$G$133,7,FALSE)</f>
        <v>0</v>
      </c>
      <c r="E68" s="263">
        <f t="shared" si="1"/>
        <v>0</v>
      </c>
      <c r="F68" s="262"/>
      <c r="G68" s="264">
        <f t="shared" si="10"/>
        <v>0</v>
      </c>
      <c r="H68" s="262"/>
      <c r="I68" s="264">
        <f t="shared" si="11"/>
        <v>0</v>
      </c>
      <c r="J68" s="265">
        <f t="shared" si="2"/>
        <v>0</v>
      </c>
      <c r="K68" s="266"/>
      <c r="L68" s="267">
        <f>VLOOKUP($A68,'[3]21-22_4_Level 4'!$A$7:$F$139,6,FALSE)</f>
        <v>38681</v>
      </c>
      <c r="M68" s="268"/>
      <c r="N68" s="262">
        <f>VLOOKUP($A68,'[4]Feb MFP_SCA'!$B$4:$K$124,10,FALSE)</f>
        <v>862</v>
      </c>
      <c r="O68" s="269">
        <f t="shared" si="12"/>
        <v>50858</v>
      </c>
      <c r="P68" s="264"/>
      <c r="Q68" s="269">
        <f t="shared" si="13"/>
        <v>50858</v>
      </c>
      <c r="R68" s="270">
        <f>VLOOKUP($A68,[5]MFP!$A$7:$E$139,4,FALSE)</f>
        <v>155.13425925924003</v>
      </c>
      <c r="S68" s="271">
        <f t="shared" si="3"/>
        <v>155134</v>
      </c>
      <c r="T68" s="271">
        <f t="shared" si="4"/>
        <v>39094</v>
      </c>
      <c r="U68" s="271">
        <f t="shared" si="14"/>
        <v>194228</v>
      </c>
      <c r="V68" s="270">
        <f>VLOOKUP($A68,[5]MFP!$A$7:$E$139,5,FALSE)</f>
        <v>101.865740740738</v>
      </c>
      <c r="W68" s="271">
        <f t="shared" si="5"/>
        <v>50933</v>
      </c>
      <c r="X68" s="271">
        <f t="shared" si="6"/>
        <v>14618</v>
      </c>
      <c r="Y68" s="271">
        <f t="shared" si="15"/>
        <v>65551</v>
      </c>
      <c r="Z68" s="270">
        <f t="shared" si="7"/>
        <v>256.99999999997806</v>
      </c>
      <c r="AA68" s="271">
        <f t="shared" si="7"/>
        <v>206067</v>
      </c>
      <c r="AB68" s="271">
        <f t="shared" si="7"/>
        <v>53712</v>
      </c>
      <c r="AC68" s="272">
        <f t="shared" si="7"/>
        <v>259779</v>
      </c>
      <c r="AD68" s="270">
        <f>VLOOKUP($A68,[5]MFP!$A$7:$E$139,4,FALSE)</f>
        <v>155.13425925924003</v>
      </c>
      <c r="AE68" s="271">
        <f t="shared" si="16"/>
        <v>124107</v>
      </c>
      <c r="AF68" s="271">
        <f t="shared" si="17"/>
        <v>31275</v>
      </c>
      <c r="AG68" s="271">
        <f t="shared" si="18"/>
        <v>155382</v>
      </c>
      <c r="AH68" s="270">
        <f>VLOOKUP($A68,[5]MFP!$A$7:$E$139,5,FALSE)</f>
        <v>101.865740740738</v>
      </c>
      <c r="AI68" s="271">
        <f t="shared" si="19"/>
        <v>40746</v>
      </c>
      <c r="AJ68" s="271">
        <f t="shared" si="20"/>
        <v>11694</v>
      </c>
      <c r="AK68" s="271">
        <f t="shared" si="21"/>
        <v>52440</v>
      </c>
      <c r="AL68" s="270">
        <f t="shared" si="22"/>
        <v>256.99999999997806</v>
      </c>
      <c r="AM68" s="271">
        <f t="shared" si="22"/>
        <v>164853</v>
      </c>
      <c r="AN68" s="271">
        <f t="shared" si="22"/>
        <v>42969</v>
      </c>
      <c r="AO68" s="273">
        <f t="shared" si="22"/>
        <v>207822</v>
      </c>
      <c r="AP68" s="274">
        <f t="shared" si="9"/>
        <v>557140</v>
      </c>
    </row>
    <row r="69" spans="1:42" ht="15" customHeight="1" x14ac:dyDescent="0.2">
      <c r="A69" s="275">
        <v>63</v>
      </c>
      <c r="B69" s="260">
        <v>63</v>
      </c>
      <c r="C69" s="261" t="s">
        <v>193</v>
      </c>
      <c r="D69" s="262">
        <f>VLOOKUP(A69,[2]Template!$A$3:$G$133,7,FALSE)</f>
        <v>0</v>
      </c>
      <c r="E69" s="263">
        <f t="shared" si="1"/>
        <v>0</v>
      </c>
      <c r="F69" s="262"/>
      <c r="G69" s="264">
        <f t="shared" si="10"/>
        <v>0</v>
      </c>
      <c r="H69" s="262"/>
      <c r="I69" s="264">
        <f t="shared" si="11"/>
        <v>0</v>
      </c>
      <c r="J69" s="265">
        <f t="shared" si="2"/>
        <v>0</v>
      </c>
      <c r="K69" s="266"/>
      <c r="L69" s="267">
        <f>VLOOKUP($A69,'[3]21-22_4_Level 4'!$A$7:$F$139,6,FALSE)</f>
        <v>75915</v>
      </c>
      <c r="M69" s="268"/>
      <c r="N69" s="262">
        <f>VLOOKUP($A69,'[4]Feb MFP_SCA'!$B$4:$K$124,10,FALSE)</f>
        <v>940</v>
      </c>
      <c r="O69" s="269">
        <f t="shared" si="12"/>
        <v>55460</v>
      </c>
      <c r="P69" s="264"/>
      <c r="Q69" s="269">
        <f t="shared" si="13"/>
        <v>55460</v>
      </c>
      <c r="R69" s="270">
        <f>VLOOKUP($A69,[5]MFP!$A$7:$E$139,4,FALSE)</f>
        <v>218.03395759452098</v>
      </c>
      <c r="S69" s="271">
        <f t="shared" si="3"/>
        <v>218034</v>
      </c>
      <c r="T69" s="271">
        <f t="shared" si="4"/>
        <v>54945</v>
      </c>
      <c r="U69" s="271">
        <f t="shared" si="14"/>
        <v>272979</v>
      </c>
      <c r="V69" s="270">
        <f>VLOOKUP($A69,[5]MFP!$A$7:$E$139,5,FALSE)</f>
        <v>146.000044550436</v>
      </c>
      <c r="W69" s="271">
        <f t="shared" si="5"/>
        <v>73000</v>
      </c>
      <c r="X69" s="271">
        <f t="shared" si="6"/>
        <v>20951</v>
      </c>
      <c r="Y69" s="271">
        <f t="shared" si="15"/>
        <v>93951</v>
      </c>
      <c r="Z69" s="270">
        <f t="shared" si="7"/>
        <v>364.03400214495696</v>
      </c>
      <c r="AA69" s="271">
        <f t="shared" si="7"/>
        <v>291034</v>
      </c>
      <c r="AB69" s="271">
        <f t="shared" si="7"/>
        <v>75896</v>
      </c>
      <c r="AC69" s="272">
        <f t="shared" si="7"/>
        <v>366930</v>
      </c>
      <c r="AD69" s="270">
        <f>VLOOKUP($A69,[5]MFP!$A$7:$E$139,4,FALSE)</f>
        <v>218.03395759452098</v>
      </c>
      <c r="AE69" s="271">
        <f t="shared" si="16"/>
        <v>174427</v>
      </c>
      <c r="AF69" s="271">
        <f t="shared" si="17"/>
        <v>43956</v>
      </c>
      <c r="AG69" s="271">
        <f t="shared" si="18"/>
        <v>218383</v>
      </c>
      <c r="AH69" s="270">
        <f>VLOOKUP($A69,[5]MFP!$A$7:$E$139,5,FALSE)</f>
        <v>146.000044550436</v>
      </c>
      <c r="AI69" s="271">
        <f t="shared" si="19"/>
        <v>58400</v>
      </c>
      <c r="AJ69" s="271">
        <f t="shared" si="20"/>
        <v>16761</v>
      </c>
      <c r="AK69" s="271">
        <f t="shared" si="21"/>
        <v>75161</v>
      </c>
      <c r="AL69" s="270">
        <f t="shared" si="22"/>
        <v>364.03400214495696</v>
      </c>
      <c r="AM69" s="271">
        <f t="shared" si="22"/>
        <v>232827</v>
      </c>
      <c r="AN69" s="271">
        <f t="shared" si="22"/>
        <v>60717</v>
      </c>
      <c r="AO69" s="273">
        <f t="shared" si="22"/>
        <v>293544</v>
      </c>
      <c r="AP69" s="274">
        <f t="shared" si="9"/>
        <v>791849</v>
      </c>
    </row>
    <row r="70" spans="1:42" ht="15" customHeight="1" x14ac:dyDescent="0.2">
      <c r="A70" s="275">
        <v>64</v>
      </c>
      <c r="B70" s="260">
        <v>64</v>
      </c>
      <c r="C70" s="261" t="s">
        <v>194</v>
      </c>
      <c r="D70" s="262">
        <f>VLOOKUP(A70,[2]Template!$A$3:$G$133,7,FALSE)</f>
        <v>0</v>
      </c>
      <c r="E70" s="263">
        <f t="shared" si="1"/>
        <v>0</v>
      </c>
      <c r="F70" s="262"/>
      <c r="G70" s="264">
        <f t="shared" si="10"/>
        <v>0</v>
      </c>
      <c r="H70" s="262"/>
      <c r="I70" s="264">
        <f t="shared" si="11"/>
        <v>0</v>
      </c>
      <c r="J70" s="265">
        <f t="shared" si="2"/>
        <v>0</v>
      </c>
      <c r="K70" s="266"/>
      <c r="L70" s="267">
        <f>VLOOKUP($A70,'[3]21-22_4_Level 4'!$A$7:$F$139,6,FALSE)</f>
        <v>96340</v>
      </c>
      <c r="M70" s="268"/>
      <c r="N70" s="262">
        <f>VLOOKUP($A70,'[4]Feb MFP_SCA'!$B$4:$K$124,10,FALSE)</f>
        <v>887</v>
      </c>
      <c r="O70" s="269">
        <f t="shared" si="12"/>
        <v>52333</v>
      </c>
      <c r="P70" s="264"/>
      <c r="Q70" s="269">
        <f t="shared" si="13"/>
        <v>52333</v>
      </c>
      <c r="R70" s="270">
        <f>VLOOKUP($A70,[5]MFP!$A$7:$E$139,4,FALSE)</f>
        <v>175.99999999999901</v>
      </c>
      <c r="S70" s="271">
        <f t="shared" si="3"/>
        <v>176000</v>
      </c>
      <c r="T70" s="271">
        <f t="shared" si="4"/>
        <v>44352</v>
      </c>
      <c r="U70" s="271">
        <f t="shared" si="14"/>
        <v>220352</v>
      </c>
      <c r="V70" s="270">
        <f>VLOOKUP($A70,[5]MFP!$A$7:$E$139,5,FALSE)</f>
        <v>154.49999999999901</v>
      </c>
      <c r="W70" s="271">
        <f t="shared" si="5"/>
        <v>77250</v>
      </c>
      <c r="X70" s="271">
        <f t="shared" si="6"/>
        <v>22171</v>
      </c>
      <c r="Y70" s="271">
        <f t="shared" si="15"/>
        <v>99421</v>
      </c>
      <c r="Z70" s="270">
        <f t="shared" si="7"/>
        <v>330.49999999999801</v>
      </c>
      <c r="AA70" s="271">
        <f t="shared" si="7"/>
        <v>253250</v>
      </c>
      <c r="AB70" s="271">
        <f t="shared" si="7"/>
        <v>66523</v>
      </c>
      <c r="AC70" s="272">
        <f t="shared" ref="AC70:AC75" si="23">U70+Y70</f>
        <v>319773</v>
      </c>
      <c r="AD70" s="270">
        <f>VLOOKUP($A70,[5]MFP!$A$7:$E$139,4,FALSE)</f>
        <v>175.99999999999901</v>
      </c>
      <c r="AE70" s="271">
        <f t="shared" si="16"/>
        <v>140800</v>
      </c>
      <c r="AF70" s="271">
        <f t="shared" si="17"/>
        <v>35482</v>
      </c>
      <c r="AG70" s="271">
        <f t="shared" si="18"/>
        <v>176282</v>
      </c>
      <c r="AH70" s="270">
        <f>VLOOKUP($A70,[5]MFP!$A$7:$E$139,5,FALSE)</f>
        <v>154.49999999999901</v>
      </c>
      <c r="AI70" s="271">
        <f t="shared" si="19"/>
        <v>61800</v>
      </c>
      <c r="AJ70" s="271">
        <f t="shared" si="20"/>
        <v>17737</v>
      </c>
      <c r="AK70" s="271">
        <f t="shared" si="21"/>
        <v>79537</v>
      </c>
      <c r="AL70" s="270">
        <f t="shared" si="22"/>
        <v>330.49999999999801</v>
      </c>
      <c r="AM70" s="271">
        <f t="shared" si="22"/>
        <v>202600</v>
      </c>
      <c r="AN70" s="271">
        <f t="shared" si="22"/>
        <v>53219</v>
      </c>
      <c r="AO70" s="273">
        <f t="shared" si="22"/>
        <v>255819</v>
      </c>
      <c r="AP70" s="274">
        <f t="shared" si="9"/>
        <v>724265</v>
      </c>
    </row>
    <row r="71" spans="1:42" ht="15" customHeight="1" x14ac:dyDescent="0.2">
      <c r="A71" s="276">
        <v>65</v>
      </c>
      <c r="B71" s="277">
        <v>65</v>
      </c>
      <c r="C71" s="278" t="s">
        <v>195</v>
      </c>
      <c r="D71" s="279">
        <f>VLOOKUP(A71,[2]Template!$A$3:$G$133,7,FALSE)</f>
        <v>0</v>
      </c>
      <c r="E71" s="280">
        <f>ROUND($E$3*D71,0)</f>
        <v>0</v>
      </c>
      <c r="F71" s="279"/>
      <c r="G71" s="281">
        <f t="shared" si="10"/>
        <v>0</v>
      </c>
      <c r="H71" s="279"/>
      <c r="I71" s="281">
        <f t="shared" si="11"/>
        <v>0</v>
      </c>
      <c r="J71" s="282">
        <f t="shared" ref="J71:J75" si="24">G71+I71</f>
        <v>0</v>
      </c>
      <c r="K71" s="283"/>
      <c r="L71" s="284">
        <f>VLOOKUP($A71,'[3]21-22_4_Level 4'!$A$7:$F$139,6,FALSE)</f>
        <v>224311</v>
      </c>
      <c r="M71" s="285"/>
      <c r="N71" s="279">
        <f>VLOOKUP($A71,'[4]Feb MFP_SCA'!$B$4:$K$124,10,FALSE)</f>
        <v>3350</v>
      </c>
      <c r="O71" s="286">
        <f t="shared" si="12"/>
        <v>197650</v>
      </c>
      <c r="P71" s="281"/>
      <c r="Q71" s="286">
        <f t="shared" si="13"/>
        <v>197650</v>
      </c>
      <c r="R71" s="287">
        <f>VLOOKUP($A71,[5]MFP!$A$7:$E$139,4,FALSE)</f>
        <v>740.11049772686704</v>
      </c>
      <c r="S71" s="288">
        <f t="shared" ref="S71:S75" si="25">ROUND(R71*$S$3,0)</f>
        <v>740110</v>
      </c>
      <c r="T71" s="288">
        <f t="shared" ref="T71:T75" si="26">ROUND(S71*$T$3,0)</f>
        <v>186508</v>
      </c>
      <c r="U71" s="288">
        <f t="shared" si="14"/>
        <v>926618</v>
      </c>
      <c r="V71" s="287">
        <f>VLOOKUP($A71,[5]MFP!$A$7:$E$139,5,FALSE)</f>
        <v>558.33825395263102</v>
      </c>
      <c r="W71" s="288">
        <f t="shared" ref="W71:W75" si="27">ROUND(V71*$W$3,0)</f>
        <v>279169</v>
      </c>
      <c r="X71" s="288">
        <f t="shared" ref="X71:X75" si="28">ROUND(W71*$X$3,0)</f>
        <v>80122</v>
      </c>
      <c r="Y71" s="288">
        <f t="shared" si="15"/>
        <v>359291</v>
      </c>
      <c r="Z71" s="287">
        <f t="shared" ref="Z71:AB75" si="29">R71+V71</f>
        <v>1298.4487516794979</v>
      </c>
      <c r="AA71" s="288">
        <f t="shared" si="29"/>
        <v>1019279</v>
      </c>
      <c r="AB71" s="288">
        <f t="shared" si="29"/>
        <v>266630</v>
      </c>
      <c r="AC71" s="289">
        <f t="shared" si="23"/>
        <v>1285909</v>
      </c>
      <c r="AD71" s="287">
        <f>VLOOKUP($A71,[5]MFP!$A$7:$E$139,4,FALSE)</f>
        <v>740.11049772686704</v>
      </c>
      <c r="AE71" s="288">
        <f t="shared" si="16"/>
        <v>592088</v>
      </c>
      <c r="AF71" s="288">
        <f t="shared" si="17"/>
        <v>149206</v>
      </c>
      <c r="AG71" s="288">
        <f t="shared" si="18"/>
        <v>741294</v>
      </c>
      <c r="AH71" s="287">
        <f>VLOOKUP($A71,[5]MFP!$A$7:$E$139,5,FALSE)</f>
        <v>558.33825395263102</v>
      </c>
      <c r="AI71" s="288">
        <f t="shared" si="19"/>
        <v>223335</v>
      </c>
      <c r="AJ71" s="288">
        <f t="shared" si="20"/>
        <v>64097</v>
      </c>
      <c r="AK71" s="288">
        <f t="shared" si="21"/>
        <v>287432</v>
      </c>
      <c r="AL71" s="287">
        <f t="shared" si="22"/>
        <v>1298.4487516794979</v>
      </c>
      <c r="AM71" s="288">
        <f t="shared" si="22"/>
        <v>815423</v>
      </c>
      <c r="AN71" s="288">
        <f t="shared" si="22"/>
        <v>213303</v>
      </c>
      <c r="AO71" s="290">
        <f t="shared" si="22"/>
        <v>1028726</v>
      </c>
      <c r="AP71" s="291">
        <f t="shared" ref="AP71:AP75" si="30">E71+J71+L71+M71+Q71+AC71+AO71</f>
        <v>2736596</v>
      </c>
    </row>
    <row r="72" spans="1:42" ht="15" customHeight="1" x14ac:dyDescent="0.2">
      <c r="A72" s="243">
        <v>66</v>
      </c>
      <c r="B72" s="244">
        <v>66</v>
      </c>
      <c r="C72" s="245" t="s">
        <v>196</v>
      </c>
      <c r="D72" s="246">
        <f>VLOOKUP(A72,[2]Template!$A$3:$G$133,7,FALSE)</f>
        <v>0</v>
      </c>
      <c r="E72" s="292">
        <f>ROUND($E$3*D72,0)</f>
        <v>0</v>
      </c>
      <c r="F72" s="246"/>
      <c r="G72" s="248">
        <f>ROUND($G$3*F72,0)</f>
        <v>0</v>
      </c>
      <c r="H72" s="246"/>
      <c r="I72" s="248">
        <f>ROUND($I$3*H72,0)</f>
        <v>0</v>
      </c>
      <c r="J72" s="249">
        <f t="shared" si="24"/>
        <v>0</v>
      </c>
      <c r="K72" s="250"/>
      <c r="L72" s="251">
        <f>VLOOKUP($A72,'[3]21-22_4_Level 4'!$A$7:$F$139,6,FALSE)</f>
        <v>53683</v>
      </c>
      <c r="M72" s="252"/>
      <c r="N72" s="246">
        <f>VLOOKUP($A72,'[4]Feb MFP_SCA'!$B$4:$K$124,10,FALSE)</f>
        <v>802</v>
      </c>
      <c r="O72" s="253">
        <f>N72*$O$3</f>
        <v>47318</v>
      </c>
      <c r="P72" s="248"/>
      <c r="Q72" s="253">
        <f>O72+P72</f>
        <v>47318</v>
      </c>
      <c r="R72" s="254">
        <f>VLOOKUP($A72,[5]MFP!$A$7:$E$139,4,FALSE)</f>
        <v>172.887125751974</v>
      </c>
      <c r="S72" s="255">
        <f t="shared" si="25"/>
        <v>172887</v>
      </c>
      <c r="T72" s="255">
        <f t="shared" si="26"/>
        <v>43568</v>
      </c>
      <c r="U72" s="255">
        <f t="shared" ref="U72:U75" si="31">S72+T72</f>
        <v>216455</v>
      </c>
      <c r="V72" s="254">
        <f>VLOOKUP($A72,[5]MFP!$A$7:$E$139,5,FALSE)</f>
        <v>122.490483366999</v>
      </c>
      <c r="W72" s="255">
        <f t="shared" si="27"/>
        <v>61245</v>
      </c>
      <c r="X72" s="255">
        <f t="shared" si="28"/>
        <v>17577</v>
      </c>
      <c r="Y72" s="255">
        <f t="shared" ref="Y72:Y75" si="32">W72+X72</f>
        <v>78822</v>
      </c>
      <c r="Z72" s="254">
        <f t="shared" si="29"/>
        <v>295.377609118973</v>
      </c>
      <c r="AA72" s="255">
        <f t="shared" si="29"/>
        <v>234132</v>
      </c>
      <c r="AB72" s="255">
        <f t="shared" si="29"/>
        <v>61145</v>
      </c>
      <c r="AC72" s="293">
        <f t="shared" si="23"/>
        <v>295277</v>
      </c>
      <c r="AD72" s="254">
        <f>VLOOKUP($A72,[5]MFP!$A$7:$E$139,4,FALSE)</f>
        <v>172.887125751974</v>
      </c>
      <c r="AE72" s="255">
        <f t="shared" ref="AE72:AE75" si="33">ROUND(AD72*$AE$3,0)</f>
        <v>138310</v>
      </c>
      <c r="AF72" s="255">
        <f t="shared" ref="AF72:AF75" si="34">ROUND(AE72*$AF$3,0)</f>
        <v>34854</v>
      </c>
      <c r="AG72" s="255">
        <f t="shared" ref="AG72:AG75" si="35">AE72+AF72</f>
        <v>173164</v>
      </c>
      <c r="AH72" s="254">
        <f>VLOOKUP($A72,[5]MFP!$A$7:$E$139,5,FALSE)</f>
        <v>122.490483366999</v>
      </c>
      <c r="AI72" s="255">
        <f t="shared" ref="AI72:AI75" si="36">ROUND(AH72*$AI$3,0)</f>
        <v>48996</v>
      </c>
      <c r="AJ72" s="255">
        <f t="shared" ref="AJ72:AJ75" si="37">ROUND(AI72*$AJ$3,0)</f>
        <v>14062</v>
      </c>
      <c r="AK72" s="255">
        <f t="shared" ref="AK72:AK75" si="38">AI72+AJ72</f>
        <v>63058</v>
      </c>
      <c r="AL72" s="254">
        <f t="shared" si="22"/>
        <v>295.377609118973</v>
      </c>
      <c r="AM72" s="255">
        <f t="shared" si="22"/>
        <v>187306</v>
      </c>
      <c r="AN72" s="255">
        <f t="shared" si="22"/>
        <v>48916</v>
      </c>
      <c r="AO72" s="257">
        <f t="shared" si="22"/>
        <v>236222</v>
      </c>
      <c r="AP72" s="258">
        <f t="shared" si="30"/>
        <v>632500</v>
      </c>
    </row>
    <row r="73" spans="1:42" ht="15" customHeight="1" x14ac:dyDescent="0.2">
      <c r="A73" s="294">
        <v>67</v>
      </c>
      <c r="B73" s="294">
        <v>67</v>
      </c>
      <c r="C73" s="295" t="s">
        <v>197</v>
      </c>
      <c r="D73" s="296">
        <f>VLOOKUP(A73,[2]Template!$A$3:$G$133,7,FALSE)</f>
        <v>0</v>
      </c>
      <c r="E73" s="297">
        <f>ROUND($E$3*D73,0)</f>
        <v>0</v>
      </c>
      <c r="F73" s="296"/>
      <c r="G73" s="298">
        <f>ROUND($G$3*F73,0)</f>
        <v>0</v>
      </c>
      <c r="H73" s="296"/>
      <c r="I73" s="298">
        <f>ROUND($I$3*H73,0)</f>
        <v>0</v>
      </c>
      <c r="J73" s="299">
        <f t="shared" si="24"/>
        <v>0</v>
      </c>
      <c r="K73" s="300"/>
      <c r="L73" s="301">
        <f>VLOOKUP($A73,'[3]21-22_4_Level 4'!$A$7:$F$139,6,FALSE)</f>
        <v>66335</v>
      </c>
      <c r="M73" s="302"/>
      <c r="N73" s="296">
        <f>VLOOKUP($A73,'[4]Feb MFP_SCA'!$B$4:$K$124,10,FALSE)</f>
        <v>2444</v>
      </c>
      <c r="O73" s="303">
        <f>N73*$O$3</f>
        <v>144196</v>
      </c>
      <c r="P73" s="298"/>
      <c r="Q73" s="303">
        <f>O73+P73</f>
        <v>144196</v>
      </c>
      <c r="R73" s="304">
        <f>VLOOKUP($A73,[5]MFP!$A$7:$E$139,4,FALSE)</f>
        <v>408.89333333199994</v>
      </c>
      <c r="S73" s="305">
        <f t="shared" si="25"/>
        <v>408893</v>
      </c>
      <c r="T73" s="305">
        <f t="shared" si="26"/>
        <v>103041</v>
      </c>
      <c r="U73" s="305">
        <f t="shared" si="31"/>
        <v>511934</v>
      </c>
      <c r="V73" s="304">
        <f>VLOOKUP($A73,[5]MFP!$A$7:$E$139,5,FALSE)</f>
        <v>176.880751973</v>
      </c>
      <c r="W73" s="305">
        <f t="shared" si="27"/>
        <v>88440</v>
      </c>
      <c r="X73" s="305">
        <f t="shared" si="28"/>
        <v>25382</v>
      </c>
      <c r="Y73" s="305">
        <f t="shared" si="32"/>
        <v>113822</v>
      </c>
      <c r="Z73" s="304">
        <f t="shared" si="29"/>
        <v>585.77408530499997</v>
      </c>
      <c r="AA73" s="305">
        <f t="shared" si="29"/>
        <v>497333</v>
      </c>
      <c r="AB73" s="305">
        <f t="shared" si="29"/>
        <v>128423</v>
      </c>
      <c r="AC73" s="306">
        <f t="shared" si="23"/>
        <v>625756</v>
      </c>
      <c r="AD73" s="304">
        <f>VLOOKUP($A73,[5]MFP!$A$7:$E$139,4,FALSE)</f>
        <v>408.89333333199994</v>
      </c>
      <c r="AE73" s="305">
        <f t="shared" si="33"/>
        <v>327115</v>
      </c>
      <c r="AF73" s="305">
        <f t="shared" si="34"/>
        <v>82433</v>
      </c>
      <c r="AG73" s="305">
        <f t="shared" si="35"/>
        <v>409548</v>
      </c>
      <c r="AH73" s="304">
        <f>VLOOKUP($A73,[5]MFP!$A$7:$E$139,5,FALSE)</f>
        <v>176.880751973</v>
      </c>
      <c r="AI73" s="305">
        <f t="shared" si="36"/>
        <v>70752</v>
      </c>
      <c r="AJ73" s="305">
        <f t="shared" si="37"/>
        <v>20306</v>
      </c>
      <c r="AK73" s="305">
        <f t="shared" si="38"/>
        <v>91058</v>
      </c>
      <c r="AL73" s="304">
        <f t="shared" si="22"/>
        <v>585.77408530499997</v>
      </c>
      <c r="AM73" s="305">
        <f t="shared" si="22"/>
        <v>397867</v>
      </c>
      <c r="AN73" s="305">
        <f t="shared" si="22"/>
        <v>102739</v>
      </c>
      <c r="AO73" s="307">
        <f t="shared" si="22"/>
        <v>500606</v>
      </c>
      <c r="AP73" s="308">
        <f t="shared" si="30"/>
        <v>1336893</v>
      </c>
    </row>
    <row r="74" spans="1:42" ht="15" customHeight="1" x14ac:dyDescent="0.2">
      <c r="A74" s="309">
        <v>68</v>
      </c>
      <c r="B74" s="310">
        <v>68</v>
      </c>
      <c r="C74" s="261" t="s">
        <v>198</v>
      </c>
      <c r="D74" s="262">
        <f>VLOOKUP(A74,[2]Template!$A$3:$G$133,7,FALSE)</f>
        <v>0</v>
      </c>
      <c r="E74" s="311">
        <f>ROUND($E$3*D74,0)</f>
        <v>0</v>
      </c>
      <c r="F74" s="262"/>
      <c r="G74" s="264">
        <f>ROUND($G$3*F74,0)</f>
        <v>0</v>
      </c>
      <c r="H74" s="262"/>
      <c r="I74" s="264">
        <f>ROUND($I$3*H74,0)</f>
        <v>0</v>
      </c>
      <c r="J74" s="265">
        <f t="shared" si="24"/>
        <v>0</v>
      </c>
      <c r="K74" s="266"/>
      <c r="L74" s="267">
        <f>VLOOKUP($A74,'[3]21-22_4_Level 4'!$A$7:$F$139,6,FALSE)</f>
        <v>25000</v>
      </c>
      <c r="M74" s="268"/>
      <c r="N74" s="262">
        <f>VLOOKUP($A74,'[4]Feb MFP_SCA'!$B$4:$K$124,10,FALSE)</f>
        <v>614</v>
      </c>
      <c r="O74" s="269">
        <f>N74*$O$3</f>
        <v>36226</v>
      </c>
      <c r="P74" s="264"/>
      <c r="Q74" s="269">
        <f>O74+P74</f>
        <v>36226</v>
      </c>
      <c r="R74" s="270">
        <f>VLOOKUP($A74,[5]MFP!$A$7:$E$139,4,FALSE)</f>
        <v>109.854119224995</v>
      </c>
      <c r="S74" s="271">
        <f t="shared" si="25"/>
        <v>109854</v>
      </c>
      <c r="T74" s="271">
        <f t="shared" si="26"/>
        <v>27683</v>
      </c>
      <c r="U74" s="271">
        <f t="shared" si="31"/>
        <v>137537</v>
      </c>
      <c r="V74" s="270">
        <f>VLOOKUP($A74,[5]MFP!$A$7:$E$139,5,FALSE)</f>
        <v>52.180311352999993</v>
      </c>
      <c r="W74" s="271">
        <f t="shared" si="27"/>
        <v>26090</v>
      </c>
      <c r="X74" s="271">
        <f t="shared" si="28"/>
        <v>7488</v>
      </c>
      <c r="Y74" s="271">
        <f t="shared" si="32"/>
        <v>33578</v>
      </c>
      <c r="Z74" s="270">
        <f t="shared" si="29"/>
        <v>162.03443057799501</v>
      </c>
      <c r="AA74" s="271">
        <f t="shared" si="29"/>
        <v>135944</v>
      </c>
      <c r="AB74" s="271">
        <f t="shared" si="29"/>
        <v>35171</v>
      </c>
      <c r="AC74" s="312">
        <f t="shared" si="23"/>
        <v>171115</v>
      </c>
      <c r="AD74" s="270">
        <f>VLOOKUP($A74,[5]MFP!$A$7:$E$139,4,FALSE)</f>
        <v>109.854119224995</v>
      </c>
      <c r="AE74" s="271">
        <f t="shared" si="33"/>
        <v>87883</v>
      </c>
      <c r="AF74" s="271">
        <f t="shared" si="34"/>
        <v>22147</v>
      </c>
      <c r="AG74" s="271">
        <f t="shared" si="35"/>
        <v>110030</v>
      </c>
      <c r="AH74" s="270">
        <f>VLOOKUP($A74,[5]MFP!$A$7:$E$139,5,FALSE)</f>
        <v>52.180311352999993</v>
      </c>
      <c r="AI74" s="271">
        <f t="shared" si="36"/>
        <v>20872</v>
      </c>
      <c r="AJ74" s="271">
        <f t="shared" si="37"/>
        <v>5990</v>
      </c>
      <c r="AK74" s="271">
        <f t="shared" si="38"/>
        <v>26862</v>
      </c>
      <c r="AL74" s="270">
        <f t="shared" si="22"/>
        <v>162.03443057799501</v>
      </c>
      <c r="AM74" s="271">
        <f t="shared" si="22"/>
        <v>108755</v>
      </c>
      <c r="AN74" s="271">
        <f t="shared" si="22"/>
        <v>28137</v>
      </c>
      <c r="AO74" s="273">
        <f t="shared" si="22"/>
        <v>136892</v>
      </c>
      <c r="AP74" s="274">
        <f t="shared" si="30"/>
        <v>369233</v>
      </c>
    </row>
    <row r="75" spans="1:42" ht="15" customHeight="1" x14ac:dyDescent="0.2">
      <c r="A75" s="313">
        <v>69</v>
      </c>
      <c r="B75" s="314">
        <v>69</v>
      </c>
      <c r="C75" s="278" t="s">
        <v>199</v>
      </c>
      <c r="D75" s="279">
        <f>VLOOKUP(A75,[2]Template!$A$3:$G$133,7,FALSE)</f>
        <v>0</v>
      </c>
      <c r="E75" s="315">
        <f>ROUND($E$3*D75,0)</f>
        <v>0</v>
      </c>
      <c r="F75" s="279"/>
      <c r="G75" s="281">
        <f>ROUND($G$3*F75,0)</f>
        <v>0</v>
      </c>
      <c r="H75" s="279"/>
      <c r="I75" s="281">
        <f>ROUND($I$3*H75,0)</f>
        <v>0</v>
      </c>
      <c r="J75" s="282">
        <f t="shared" si="24"/>
        <v>0</v>
      </c>
      <c r="K75" s="283"/>
      <c r="L75" s="284">
        <f>VLOOKUP($A75,'[3]21-22_4_Level 4'!$A$7:$F$139,6,FALSE)</f>
        <v>160325</v>
      </c>
      <c r="M75" s="285"/>
      <c r="N75" s="279">
        <f>VLOOKUP($A75,'[4]Feb MFP_SCA'!$B$4:$K$124,10,FALSE)</f>
        <v>2223</v>
      </c>
      <c r="O75" s="286">
        <f>N75*$O$3</f>
        <v>131157</v>
      </c>
      <c r="P75" s="281"/>
      <c r="Q75" s="286">
        <f>O75+P75</f>
        <v>131157</v>
      </c>
      <c r="R75" s="287">
        <f>VLOOKUP($A75,[5]MFP!$A$7:$E$139,4,FALSE)</f>
        <v>352.30198019799798</v>
      </c>
      <c r="S75" s="288">
        <f t="shared" si="25"/>
        <v>352302</v>
      </c>
      <c r="T75" s="288">
        <f t="shared" si="26"/>
        <v>88780</v>
      </c>
      <c r="U75" s="288">
        <f t="shared" si="31"/>
        <v>441082</v>
      </c>
      <c r="V75" s="287">
        <f>VLOOKUP($A75,[5]MFP!$A$7:$E$139,5,FALSE)</f>
        <v>118</v>
      </c>
      <c r="W75" s="288">
        <f t="shared" si="27"/>
        <v>59000</v>
      </c>
      <c r="X75" s="288">
        <f t="shared" si="28"/>
        <v>16933</v>
      </c>
      <c r="Y75" s="288">
        <f t="shared" si="32"/>
        <v>75933</v>
      </c>
      <c r="Z75" s="287">
        <f t="shared" si="29"/>
        <v>470.30198019799798</v>
      </c>
      <c r="AA75" s="288">
        <f t="shared" si="29"/>
        <v>411302</v>
      </c>
      <c r="AB75" s="288">
        <f t="shared" si="29"/>
        <v>105713</v>
      </c>
      <c r="AC75" s="316">
        <f t="shared" si="23"/>
        <v>517015</v>
      </c>
      <c r="AD75" s="287">
        <f>VLOOKUP($A75,[5]MFP!$A$7:$E$139,4,FALSE)</f>
        <v>352.30198019799798</v>
      </c>
      <c r="AE75" s="288">
        <f t="shared" si="33"/>
        <v>281842</v>
      </c>
      <c r="AF75" s="288">
        <f t="shared" si="34"/>
        <v>71024</v>
      </c>
      <c r="AG75" s="288">
        <f t="shared" si="35"/>
        <v>352866</v>
      </c>
      <c r="AH75" s="287">
        <f>VLOOKUP($A75,[5]MFP!$A$7:$E$139,5,FALSE)</f>
        <v>118</v>
      </c>
      <c r="AI75" s="288">
        <f t="shared" si="36"/>
        <v>47200</v>
      </c>
      <c r="AJ75" s="288">
        <f t="shared" si="37"/>
        <v>13546</v>
      </c>
      <c r="AK75" s="288">
        <f t="shared" si="38"/>
        <v>60746</v>
      </c>
      <c r="AL75" s="287">
        <f t="shared" si="22"/>
        <v>470.30198019799798</v>
      </c>
      <c r="AM75" s="288">
        <f t="shared" si="22"/>
        <v>329042</v>
      </c>
      <c r="AN75" s="288">
        <f t="shared" si="22"/>
        <v>84570</v>
      </c>
      <c r="AO75" s="290">
        <f t="shared" si="22"/>
        <v>413612</v>
      </c>
      <c r="AP75" s="291">
        <f t="shared" si="30"/>
        <v>1222109</v>
      </c>
    </row>
    <row r="76" spans="1:42" s="333" customFormat="1" ht="15" customHeight="1" thickBot="1" x14ac:dyDescent="0.25">
      <c r="A76" s="317"/>
      <c r="B76" s="318"/>
      <c r="C76" s="319" t="s">
        <v>528</v>
      </c>
      <c r="D76" s="320">
        <f t="shared" ref="D76:AP76" si="39">SUM(D7:D75)</f>
        <v>183</v>
      </c>
      <c r="E76" s="321">
        <f t="shared" si="39"/>
        <v>3843000</v>
      </c>
      <c r="F76" s="320">
        <f t="shared" si="39"/>
        <v>0</v>
      </c>
      <c r="G76" s="322">
        <f t="shared" si="39"/>
        <v>0</v>
      </c>
      <c r="H76" s="320">
        <f t="shared" si="39"/>
        <v>0</v>
      </c>
      <c r="I76" s="322">
        <f t="shared" si="39"/>
        <v>0</v>
      </c>
      <c r="J76" s="323">
        <f t="shared" si="39"/>
        <v>0</v>
      </c>
      <c r="K76" s="324">
        <f t="shared" ref="K76" si="40">SUM(K7:K75)</f>
        <v>0</v>
      </c>
      <c r="L76" s="325">
        <f>SUM(L7:L75)</f>
        <v>15365077</v>
      </c>
      <c r="M76" s="326">
        <f t="shared" si="39"/>
        <v>0</v>
      </c>
      <c r="N76" s="320">
        <f t="shared" si="39"/>
        <v>290656</v>
      </c>
      <c r="O76" s="327">
        <f t="shared" si="39"/>
        <v>17148704</v>
      </c>
      <c r="P76" s="322">
        <f t="shared" si="39"/>
        <v>0</v>
      </c>
      <c r="Q76" s="327">
        <f t="shared" si="39"/>
        <v>17148704</v>
      </c>
      <c r="R76" s="328">
        <f t="shared" ref="R76:AC76" si="41">SUM(R7:R75)</f>
        <v>57285.913504689153</v>
      </c>
      <c r="S76" s="329">
        <f t="shared" si="41"/>
        <v>57285913</v>
      </c>
      <c r="T76" s="329">
        <f t="shared" si="41"/>
        <v>14436050</v>
      </c>
      <c r="U76" s="329">
        <f t="shared" si="41"/>
        <v>71721963</v>
      </c>
      <c r="V76" s="328">
        <f t="shared" si="41"/>
        <v>36997.15655710148</v>
      </c>
      <c r="W76" s="329">
        <f t="shared" si="41"/>
        <v>18498576</v>
      </c>
      <c r="X76" s="329">
        <f t="shared" si="41"/>
        <v>5309100</v>
      </c>
      <c r="Y76" s="329">
        <f t="shared" si="41"/>
        <v>23807676</v>
      </c>
      <c r="Z76" s="328">
        <f t="shared" si="41"/>
        <v>94283.070061790626</v>
      </c>
      <c r="AA76" s="329">
        <f t="shared" si="41"/>
        <v>75784489</v>
      </c>
      <c r="AB76" s="329">
        <f t="shared" si="41"/>
        <v>19745150</v>
      </c>
      <c r="AC76" s="330">
        <f t="shared" si="41"/>
        <v>95529639</v>
      </c>
      <c r="AD76" s="328">
        <f t="shared" si="39"/>
        <v>57285.913504689153</v>
      </c>
      <c r="AE76" s="329">
        <f t="shared" si="39"/>
        <v>45828730</v>
      </c>
      <c r="AF76" s="329">
        <f t="shared" si="39"/>
        <v>11548842</v>
      </c>
      <c r="AG76" s="329">
        <f t="shared" si="39"/>
        <v>57377572</v>
      </c>
      <c r="AH76" s="328">
        <f t="shared" si="39"/>
        <v>36997.15655710148</v>
      </c>
      <c r="AI76" s="329">
        <f t="shared" si="39"/>
        <v>14798863</v>
      </c>
      <c r="AJ76" s="329">
        <f t="shared" si="39"/>
        <v>4247271</v>
      </c>
      <c r="AK76" s="329">
        <f t="shared" si="39"/>
        <v>19046134</v>
      </c>
      <c r="AL76" s="328">
        <f t="shared" si="39"/>
        <v>94283.070061790626</v>
      </c>
      <c r="AM76" s="329">
        <f t="shared" si="39"/>
        <v>60627593</v>
      </c>
      <c r="AN76" s="329">
        <f t="shared" si="39"/>
        <v>15796113</v>
      </c>
      <c r="AO76" s="331">
        <f t="shared" si="39"/>
        <v>76423706</v>
      </c>
      <c r="AP76" s="332">
        <f t="shared" si="39"/>
        <v>208310126</v>
      </c>
    </row>
    <row r="77" spans="1:42" s="344" customFormat="1" ht="6.75" customHeight="1" thickTop="1" x14ac:dyDescent="0.2">
      <c r="A77" s="334"/>
      <c r="B77" s="335"/>
      <c r="C77" s="336"/>
      <c r="D77" s="337"/>
      <c r="E77" s="338"/>
      <c r="F77" s="337"/>
      <c r="G77" s="339"/>
      <c r="H77" s="340"/>
      <c r="I77" s="339"/>
      <c r="J77" s="339"/>
      <c r="K77" s="341"/>
      <c r="L77" s="338"/>
      <c r="M77" s="338"/>
      <c r="N77" s="337"/>
      <c r="O77" s="338"/>
      <c r="P77" s="339"/>
      <c r="Q77" s="338"/>
      <c r="R77" s="342"/>
      <c r="S77" s="343"/>
      <c r="T77" s="343"/>
      <c r="U77" s="343"/>
      <c r="V77" s="342"/>
      <c r="W77" s="343"/>
      <c r="X77" s="343"/>
      <c r="Y77" s="343"/>
      <c r="Z77" s="342"/>
      <c r="AA77" s="343"/>
      <c r="AB77" s="343"/>
      <c r="AC77" s="338"/>
      <c r="AD77" s="342"/>
      <c r="AE77" s="343"/>
      <c r="AF77" s="343"/>
      <c r="AG77" s="343"/>
      <c r="AH77" s="342"/>
      <c r="AI77" s="343"/>
      <c r="AJ77" s="343"/>
      <c r="AK77" s="343"/>
      <c r="AL77" s="342"/>
      <c r="AM77" s="343"/>
      <c r="AN77" s="343"/>
      <c r="AO77" s="343"/>
      <c r="AP77" s="338"/>
    </row>
    <row r="78" spans="1:42" s="344" customFormat="1" ht="15" customHeight="1" x14ac:dyDescent="0.2">
      <c r="A78" s="243">
        <v>318</v>
      </c>
      <c r="B78" s="244">
        <v>318001</v>
      </c>
      <c r="C78" s="245" t="s">
        <v>529</v>
      </c>
      <c r="D78" s="246">
        <f>VLOOKUP(A78,[2]Template!$A$3:$G$133,7,FALSE)</f>
        <v>0</v>
      </c>
      <c r="E78" s="247">
        <f t="shared" ref="E78:E83" si="42">ROUND($E$3*D78,0)</f>
        <v>0</v>
      </c>
      <c r="F78" s="246"/>
      <c r="G78" s="248">
        <f t="shared" ref="G78:G83" si="43">ROUND($G$3*F78,0)</f>
        <v>0</v>
      </c>
      <c r="H78" s="246"/>
      <c r="I78" s="248">
        <f t="shared" ref="I78:I83" si="44">ROUND($I$3*H78,0)</f>
        <v>0</v>
      </c>
      <c r="J78" s="249">
        <f t="shared" ref="J78:J83" si="45">G78+I78</f>
        <v>0</v>
      </c>
      <c r="K78" s="250"/>
      <c r="L78" s="251">
        <f>VLOOKUP($A78,'[3]21-22_4_Level 4'!$A$7:$F$139,6,FALSE)</f>
        <v>10000</v>
      </c>
      <c r="M78" s="252"/>
      <c r="N78" s="246">
        <f>VLOOKUP($A78,'[4]Feb MFP_SCA'!$B$4:$K$124,10,FALSE)</f>
        <v>689</v>
      </c>
      <c r="O78" s="253">
        <f t="shared" ref="O78:O83" si="46">N78*$O$3</f>
        <v>40651</v>
      </c>
      <c r="P78" s="248"/>
      <c r="Q78" s="253">
        <f t="shared" ref="Q78:Q83" si="47">O78+P78</f>
        <v>40651</v>
      </c>
      <c r="R78" s="254">
        <f>VLOOKUP($A78,[5]MFP!$A$7:$E$139,4,FALSE)</f>
        <v>94.110977156999994</v>
      </c>
      <c r="S78" s="255">
        <f t="shared" ref="S78:S83" si="48">ROUND(R78*$S$3,0)</f>
        <v>94111</v>
      </c>
      <c r="T78" s="255">
        <f t="shared" ref="T78:T83" si="49">ROUND(S78*$T$3,0)</f>
        <v>23716</v>
      </c>
      <c r="U78" s="255">
        <f t="shared" ref="U78:U83" si="50">S78+T78</f>
        <v>117827</v>
      </c>
      <c r="V78" s="254">
        <f>VLOOKUP($A78,[5]MFP!$A$7:$E$139,5,FALSE)</f>
        <v>28.475000000000001</v>
      </c>
      <c r="W78" s="255">
        <f t="shared" ref="W78:W83" si="51">ROUND(V78*$W$3,0)</f>
        <v>14238</v>
      </c>
      <c r="X78" s="255">
        <f t="shared" ref="X78:X83" si="52">ROUND(W78*$X$3,0)</f>
        <v>4086</v>
      </c>
      <c r="Y78" s="255">
        <f t="shared" ref="Y78:Y83" si="53">W78+X78</f>
        <v>18324</v>
      </c>
      <c r="Z78" s="254">
        <f t="shared" ref="Z78:AC83" si="54">R78+V78</f>
        <v>122.585977157</v>
      </c>
      <c r="AA78" s="255">
        <f t="shared" si="54"/>
        <v>108349</v>
      </c>
      <c r="AB78" s="255">
        <f t="shared" si="54"/>
        <v>27802</v>
      </c>
      <c r="AC78" s="256">
        <f t="shared" si="54"/>
        <v>136151</v>
      </c>
      <c r="AD78" s="254">
        <f>VLOOKUP($A78,[5]MFP!$A$7:$E$139,4,FALSE)</f>
        <v>94.110977156999994</v>
      </c>
      <c r="AE78" s="255">
        <f t="shared" ref="AE78:AE83" si="55">ROUND(AD78*$AE$3,0)</f>
        <v>75289</v>
      </c>
      <c r="AF78" s="255">
        <f t="shared" ref="AF78:AF83" si="56">ROUND(AE78*$AF$3,0)</f>
        <v>18973</v>
      </c>
      <c r="AG78" s="255">
        <f t="shared" ref="AG78:AG83" si="57">AE78+AF78</f>
        <v>94262</v>
      </c>
      <c r="AH78" s="254">
        <f>VLOOKUP($A78,[5]MFP!$A$7:$E$139,5,FALSE)</f>
        <v>28.475000000000001</v>
      </c>
      <c r="AI78" s="255">
        <f t="shared" ref="AI78:AI83" si="58">ROUND(AH78*$AI$3,0)</f>
        <v>11390</v>
      </c>
      <c r="AJ78" s="255">
        <f t="shared" ref="AJ78:AJ83" si="59">ROUND(AI78*$AJ$3,0)</f>
        <v>3269</v>
      </c>
      <c r="AK78" s="255">
        <f t="shared" ref="AK78:AK83" si="60">AI78+AJ78</f>
        <v>14659</v>
      </c>
      <c r="AL78" s="254">
        <f t="shared" ref="AL78:AO83" si="61">AD78+AH78</f>
        <v>122.585977157</v>
      </c>
      <c r="AM78" s="255">
        <f t="shared" si="61"/>
        <v>86679</v>
      </c>
      <c r="AN78" s="255">
        <f t="shared" si="61"/>
        <v>22242</v>
      </c>
      <c r="AO78" s="257">
        <f t="shared" si="61"/>
        <v>108921</v>
      </c>
      <c r="AP78" s="258">
        <f t="shared" ref="AP78:AP83" si="62">E78+J78+L78+M78+Q78+AC78+AO78</f>
        <v>295723</v>
      </c>
    </row>
    <row r="79" spans="1:42" s="344" customFormat="1" ht="15" customHeight="1" x14ac:dyDescent="0.2">
      <c r="A79" s="275">
        <v>319</v>
      </c>
      <c r="B79" s="260">
        <v>319001</v>
      </c>
      <c r="C79" s="261" t="s">
        <v>530</v>
      </c>
      <c r="D79" s="262">
        <f>VLOOKUP(A79,[2]Template!$A$3:$G$133,7,FALSE)</f>
        <v>0</v>
      </c>
      <c r="E79" s="263">
        <f t="shared" si="42"/>
        <v>0</v>
      </c>
      <c r="F79" s="262"/>
      <c r="G79" s="264">
        <f t="shared" si="43"/>
        <v>0</v>
      </c>
      <c r="H79" s="262"/>
      <c r="I79" s="264">
        <f t="shared" si="44"/>
        <v>0</v>
      </c>
      <c r="J79" s="265">
        <f t="shared" si="45"/>
        <v>0</v>
      </c>
      <c r="K79" s="266"/>
      <c r="L79" s="267">
        <f>VLOOKUP($A79,'[3]21-22_4_Level 4'!$A$7:$F$139,6,FALSE)</f>
        <v>10000</v>
      </c>
      <c r="M79" s="268"/>
      <c r="N79" s="262">
        <f>VLOOKUP($A79,'[4]Feb MFP_SCA'!$B$4:$K$124,10,FALSE)</f>
        <v>345</v>
      </c>
      <c r="O79" s="269">
        <f t="shared" si="46"/>
        <v>20355</v>
      </c>
      <c r="P79" s="264"/>
      <c r="Q79" s="269">
        <f t="shared" si="47"/>
        <v>20355</v>
      </c>
      <c r="R79" s="270">
        <f>VLOOKUP($A79,[5]MFP!$A$7:$E$139,4,FALSE)</f>
        <v>29.533012818999996</v>
      </c>
      <c r="S79" s="271">
        <f t="shared" si="48"/>
        <v>29533</v>
      </c>
      <c r="T79" s="271">
        <f t="shared" si="49"/>
        <v>7442</v>
      </c>
      <c r="U79" s="271">
        <f t="shared" si="50"/>
        <v>36975</v>
      </c>
      <c r="V79" s="270">
        <f>VLOOKUP($A79,[5]MFP!$A$7:$E$139,5,FALSE)</f>
        <v>4</v>
      </c>
      <c r="W79" s="271">
        <f t="shared" si="51"/>
        <v>2000</v>
      </c>
      <c r="X79" s="271">
        <f t="shared" si="52"/>
        <v>574</v>
      </c>
      <c r="Y79" s="271">
        <f t="shared" si="53"/>
        <v>2574</v>
      </c>
      <c r="Z79" s="270">
        <f t="shared" si="54"/>
        <v>33.533012818999993</v>
      </c>
      <c r="AA79" s="271">
        <f t="shared" si="54"/>
        <v>31533</v>
      </c>
      <c r="AB79" s="271">
        <f t="shared" si="54"/>
        <v>8016</v>
      </c>
      <c r="AC79" s="272">
        <f t="shared" si="54"/>
        <v>39549</v>
      </c>
      <c r="AD79" s="270">
        <f>VLOOKUP($A79,[5]MFP!$A$7:$E$139,4,FALSE)</f>
        <v>29.533012818999996</v>
      </c>
      <c r="AE79" s="271">
        <f t="shared" si="55"/>
        <v>23626</v>
      </c>
      <c r="AF79" s="271">
        <f t="shared" si="56"/>
        <v>5954</v>
      </c>
      <c r="AG79" s="271">
        <f t="shared" si="57"/>
        <v>29580</v>
      </c>
      <c r="AH79" s="270">
        <f>VLOOKUP($A79,[5]MFP!$A$7:$E$139,5,FALSE)</f>
        <v>4</v>
      </c>
      <c r="AI79" s="271">
        <f t="shared" si="58"/>
        <v>1600</v>
      </c>
      <c r="AJ79" s="271">
        <f t="shared" si="59"/>
        <v>459</v>
      </c>
      <c r="AK79" s="271">
        <f t="shared" si="60"/>
        <v>2059</v>
      </c>
      <c r="AL79" s="270">
        <f t="shared" si="61"/>
        <v>33.533012818999993</v>
      </c>
      <c r="AM79" s="271">
        <f t="shared" si="61"/>
        <v>25226</v>
      </c>
      <c r="AN79" s="271">
        <f t="shared" si="61"/>
        <v>6413</v>
      </c>
      <c r="AO79" s="273">
        <f t="shared" si="61"/>
        <v>31639</v>
      </c>
      <c r="AP79" s="274">
        <f t="shared" si="62"/>
        <v>101543</v>
      </c>
    </row>
    <row r="80" spans="1:42" ht="15" customHeight="1" x14ac:dyDescent="0.2">
      <c r="A80" s="275">
        <v>302006</v>
      </c>
      <c r="B80" s="260">
        <v>302006</v>
      </c>
      <c r="C80" s="261" t="s">
        <v>531</v>
      </c>
      <c r="D80" s="262">
        <f>VLOOKUP(A80,[2]Template!$A$3:$G$133,7,FALSE)</f>
        <v>0</v>
      </c>
      <c r="E80" s="263">
        <f t="shared" si="42"/>
        <v>0</v>
      </c>
      <c r="F80" s="262"/>
      <c r="G80" s="264">
        <f t="shared" si="43"/>
        <v>0</v>
      </c>
      <c r="H80" s="262"/>
      <c r="I80" s="264">
        <f t="shared" si="44"/>
        <v>0</v>
      </c>
      <c r="J80" s="265">
        <f t="shared" si="45"/>
        <v>0</v>
      </c>
      <c r="K80" s="266"/>
      <c r="L80" s="267">
        <f>VLOOKUP($A80,'[3]21-22_4_Level 4'!$A$7:$F$139,6,FALSE)</f>
        <v>10000</v>
      </c>
      <c r="M80" s="268"/>
      <c r="N80" s="262">
        <f>VLOOKUP($A80,'[4]Feb MFP_SCA'!$B$4:$K$124,10,FALSE)</f>
        <v>311</v>
      </c>
      <c r="O80" s="269">
        <f t="shared" si="46"/>
        <v>18349</v>
      </c>
      <c r="P80" s="264"/>
      <c r="Q80" s="269">
        <f t="shared" si="47"/>
        <v>18349</v>
      </c>
      <c r="R80" s="270">
        <f>VLOOKUP($A80,[5]MFP!$A$7:$E$139,4,FALSE)</f>
        <v>39</v>
      </c>
      <c r="S80" s="271">
        <f t="shared" si="48"/>
        <v>39000</v>
      </c>
      <c r="T80" s="271">
        <f t="shared" si="49"/>
        <v>9828</v>
      </c>
      <c r="U80" s="271">
        <f t="shared" si="50"/>
        <v>48828</v>
      </c>
      <c r="V80" s="270">
        <f>VLOOKUP($A80,[5]MFP!$A$7:$E$139,5,FALSE)</f>
        <v>16.769230768</v>
      </c>
      <c r="W80" s="271">
        <f t="shared" si="51"/>
        <v>8385</v>
      </c>
      <c r="X80" s="271">
        <f t="shared" si="52"/>
        <v>2406</v>
      </c>
      <c r="Y80" s="271">
        <f t="shared" si="53"/>
        <v>10791</v>
      </c>
      <c r="Z80" s="270">
        <f t="shared" si="54"/>
        <v>55.769230768</v>
      </c>
      <c r="AA80" s="271">
        <f t="shared" si="54"/>
        <v>47385</v>
      </c>
      <c r="AB80" s="271">
        <f t="shared" si="54"/>
        <v>12234</v>
      </c>
      <c r="AC80" s="272">
        <f t="shared" si="54"/>
        <v>59619</v>
      </c>
      <c r="AD80" s="270">
        <f>VLOOKUP($A80,[5]MFP!$A$7:$E$139,4,FALSE)</f>
        <v>39</v>
      </c>
      <c r="AE80" s="271">
        <f t="shared" si="55"/>
        <v>31200</v>
      </c>
      <c r="AF80" s="271">
        <f t="shared" si="56"/>
        <v>7862</v>
      </c>
      <c r="AG80" s="271">
        <f t="shared" si="57"/>
        <v>39062</v>
      </c>
      <c r="AH80" s="270">
        <f>VLOOKUP($A80,[5]MFP!$A$7:$E$139,5,FALSE)</f>
        <v>16.769230768</v>
      </c>
      <c r="AI80" s="271">
        <f t="shared" si="58"/>
        <v>6708</v>
      </c>
      <c r="AJ80" s="271">
        <f t="shared" si="59"/>
        <v>1925</v>
      </c>
      <c r="AK80" s="271">
        <f t="shared" si="60"/>
        <v>8633</v>
      </c>
      <c r="AL80" s="270">
        <f t="shared" si="61"/>
        <v>55.769230768</v>
      </c>
      <c r="AM80" s="271">
        <f t="shared" si="61"/>
        <v>37908</v>
      </c>
      <c r="AN80" s="271">
        <f t="shared" si="61"/>
        <v>9787</v>
      </c>
      <c r="AO80" s="273">
        <f t="shared" si="61"/>
        <v>47695</v>
      </c>
      <c r="AP80" s="274">
        <f t="shared" si="62"/>
        <v>135663</v>
      </c>
    </row>
    <row r="81" spans="1:42" ht="15" customHeight="1" x14ac:dyDescent="0.2">
      <c r="A81" s="275">
        <v>334001</v>
      </c>
      <c r="B81" s="260">
        <v>334001</v>
      </c>
      <c r="C81" s="261" t="s">
        <v>532</v>
      </c>
      <c r="D81" s="262">
        <f>VLOOKUP(A81,[2]Template!$A$3:$G$133,7,FALSE)</f>
        <v>0</v>
      </c>
      <c r="E81" s="263">
        <f t="shared" si="42"/>
        <v>0</v>
      </c>
      <c r="F81" s="262"/>
      <c r="G81" s="264">
        <f t="shared" si="43"/>
        <v>0</v>
      </c>
      <c r="H81" s="262"/>
      <c r="I81" s="264">
        <f t="shared" si="44"/>
        <v>0</v>
      </c>
      <c r="J81" s="265">
        <f t="shared" si="45"/>
        <v>0</v>
      </c>
      <c r="K81" s="266"/>
      <c r="L81" s="267">
        <f>VLOOKUP($A81,'[3]21-22_4_Level 4'!$A$7:$F$139,6,FALSE)</f>
        <v>10000</v>
      </c>
      <c r="M81" s="268"/>
      <c r="N81" s="262">
        <f>VLOOKUP($A81,'[4]Feb MFP_SCA'!$B$4:$K$124,10,FALSE)</f>
        <v>237</v>
      </c>
      <c r="O81" s="269">
        <f t="shared" si="46"/>
        <v>13983</v>
      </c>
      <c r="P81" s="264"/>
      <c r="Q81" s="269">
        <f t="shared" si="47"/>
        <v>13983</v>
      </c>
      <c r="R81" s="270">
        <f>VLOOKUP($A81,[5]MFP!$A$7:$E$139,4,FALSE)</f>
        <v>63.977388509000001</v>
      </c>
      <c r="S81" s="271">
        <f t="shared" si="48"/>
        <v>63977</v>
      </c>
      <c r="T81" s="271">
        <f t="shared" si="49"/>
        <v>16122</v>
      </c>
      <c r="U81" s="271">
        <f t="shared" si="50"/>
        <v>80099</v>
      </c>
      <c r="V81" s="270">
        <f>VLOOKUP($A81,[5]MFP!$A$7:$E$139,5,FALSE)</f>
        <v>12.889423076</v>
      </c>
      <c r="W81" s="271">
        <f t="shared" si="51"/>
        <v>6445</v>
      </c>
      <c r="X81" s="271">
        <f t="shared" si="52"/>
        <v>1850</v>
      </c>
      <c r="Y81" s="271">
        <f t="shared" si="53"/>
        <v>8295</v>
      </c>
      <c r="Z81" s="270">
        <f t="shared" si="54"/>
        <v>76.866811584999994</v>
      </c>
      <c r="AA81" s="271">
        <f t="shared" si="54"/>
        <v>70422</v>
      </c>
      <c r="AB81" s="271">
        <f t="shared" si="54"/>
        <v>17972</v>
      </c>
      <c r="AC81" s="272">
        <f t="shared" si="54"/>
        <v>88394</v>
      </c>
      <c r="AD81" s="270">
        <f>VLOOKUP($A81,[5]MFP!$A$7:$E$139,4,FALSE)</f>
        <v>63.977388509000001</v>
      </c>
      <c r="AE81" s="271">
        <f t="shared" si="55"/>
        <v>51182</v>
      </c>
      <c r="AF81" s="271">
        <f t="shared" si="56"/>
        <v>12898</v>
      </c>
      <c r="AG81" s="271">
        <f t="shared" si="57"/>
        <v>64080</v>
      </c>
      <c r="AH81" s="270">
        <f>VLOOKUP($A81,[5]MFP!$A$7:$E$139,5,FALSE)</f>
        <v>12.889423076</v>
      </c>
      <c r="AI81" s="271">
        <f t="shared" si="58"/>
        <v>5156</v>
      </c>
      <c r="AJ81" s="271">
        <f t="shared" si="59"/>
        <v>1480</v>
      </c>
      <c r="AK81" s="271">
        <f t="shared" si="60"/>
        <v>6636</v>
      </c>
      <c r="AL81" s="270">
        <f t="shared" si="61"/>
        <v>76.866811584999994</v>
      </c>
      <c r="AM81" s="271">
        <f t="shared" si="61"/>
        <v>56338</v>
      </c>
      <c r="AN81" s="271">
        <f t="shared" si="61"/>
        <v>14378</v>
      </c>
      <c r="AO81" s="273">
        <f t="shared" si="61"/>
        <v>70716</v>
      </c>
      <c r="AP81" s="274">
        <f t="shared" si="62"/>
        <v>183093</v>
      </c>
    </row>
    <row r="82" spans="1:42" ht="15" customHeight="1" x14ac:dyDescent="0.2">
      <c r="A82" s="276" t="s">
        <v>533</v>
      </c>
      <c r="B82" s="277" t="s">
        <v>533</v>
      </c>
      <c r="C82" s="278" t="s">
        <v>534</v>
      </c>
      <c r="D82" s="279">
        <f>VLOOKUP(A82,[2]Template!$A$3:$G$133,7,FALSE)</f>
        <v>0</v>
      </c>
      <c r="E82" s="280">
        <f t="shared" si="42"/>
        <v>0</v>
      </c>
      <c r="F82" s="279"/>
      <c r="G82" s="281">
        <f t="shared" si="43"/>
        <v>0</v>
      </c>
      <c r="H82" s="279"/>
      <c r="I82" s="281">
        <f t="shared" si="44"/>
        <v>0</v>
      </c>
      <c r="J82" s="282">
        <f t="shared" si="45"/>
        <v>0</v>
      </c>
      <c r="K82" s="283"/>
      <c r="L82" s="284">
        <f>VLOOKUP($A82,'[3]21-22_4_Level 4'!$A$7:$F$139,6,FALSE)</f>
        <v>13014</v>
      </c>
      <c r="M82" s="285"/>
      <c r="N82" s="279">
        <f>VLOOKUP($A82,'[4]Feb MFP_SCA'!$B$4:$K$124,10,FALSE)</f>
        <v>169</v>
      </c>
      <c r="O82" s="286">
        <f t="shared" si="46"/>
        <v>9971</v>
      </c>
      <c r="P82" s="281"/>
      <c r="Q82" s="286">
        <f t="shared" si="47"/>
        <v>9971</v>
      </c>
      <c r="R82" s="287">
        <f>VLOOKUP($A82,[5]MFP!$A$7:$E$139,4,FALSE)</f>
        <v>31.014285712</v>
      </c>
      <c r="S82" s="288">
        <f t="shared" si="48"/>
        <v>31014</v>
      </c>
      <c r="T82" s="288">
        <f t="shared" si="49"/>
        <v>7816</v>
      </c>
      <c r="U82" s="288">
        <f t="shared" si="50"/>
        <v>38830</v>
      </c>
      <c r="V82" s="287">
        <f>VLOOKUP($A82,[5]MFP!$A$7:$E$139,5,FALSE)</f>
        <v>62.124542120000001</v>
      </c>
      <c r="W82" s="288">
        <f t="shared" si="51"/>
        <v>31062</v>
      </c>
      <c r="X82" s="288">
        <f t="shared" si="52"/>
        <v>8915</v>
      </c>
      <c r="Y82" s="288">
        <f t="shared" si="53"/>
        <v>39977</v>
      </c>
      <c r="Z82" s="287">
        <f t="shared" si="54"/>
        <v>93.138827832000004</v>
      </c>
      <c r="AA82" s="288">
        <f t="shared" si="54"/>
        <v>62076</v>
      </c>
      <c r="AB82" s="288">
        <f t="shared" si="54"/>
        <v>16731</v>
      </c>
      <c r="AC82" s="289">
        <f t="shared" si="54"/>
        <v>78807</v>
      </c>
      <c r="AD82" s="287">
        <f>VLOOKUP($A82,[5]MFP!$A$7:$E$139,4,FALSE)</f>
        <v>31.014285712</v>
      </c>
      <c r="AE82" s="288">
        <f t="shared" si="55"/>
        <v>24811</v>
      </c>
      <c r="AF82" s="288">
        <f t="shared" si="56"/>
        <v>6252</v>
      </c>
      <c r="AG82" s="288">
        <f t="shared" si="57"/>
        <v>31063</v>
      </c>
      <c r="AH82" s="287">
        <f>VLOOKUP($A82,[5]MFP!$A$7:$E$139,5,FALSE)</f>
        <v>62.124542120000001</v>
      </c>
      <c r="AI82" s="288">
        <f t="shared" si="58"/>
        <v>24850</v>
      </c>
      <c r="AJ82" s="288">
        <f t="shared" si="59"/>
        <v>7132</v>
      </c>
      <c r="AK82" s="288">
        <f t="shared" si="60"/>
        <v>31982</v>
      </c>
      <c r="AL82" s="287">
        <f t="shared" si="61"/>
        <v>93.138827832000004</v>
      </c>
      <c r="AM82" s="288">
        <f t="shared" si="61"/>
        <v>49661</v>
      </c>
      <c r="AN82" s="288">
        <f t="shared" si="61"/>
        <v>13384</v>
      </c>
      <c r="AO82" s="290">
        <f t="shared" si="61"/>
        <v>63045</v>
      </c>
      <c r="AP82" s="291">
        <f t="shared" si="62"/>
        <v>164837</v>
      </c>
    </row>
    <row r="83" spans="1:42" s="333" customFormat="1" ht="15" customHeight="1" x14ac:dyDescent="0.2">
      <c r="A83" s="276" t="s">
        <v>535</v>
      </c>
      <c r="B83" s="277" t="s">
        <v>535</v>
      </c>
      <c r="C83" s="278" t="s">
        <v>536</v>
      </c>
      <c r="D83" s="279">
        <v>0</v>
      </c>
      <c r="E83" s="280">
        <f t="shared" si="42"/>
        <v>0</v>
      </c>
      <c r="F83" s="279"/>
      <c r="G83" s="281">
        <f t="shared" si="43"/>
        <v>0</v>
      </c>
      <c r="H83" s="279"/>
      <c r="I83" s="281">
        <f t="shared" si="44"/>
        <v>0</v>
      </c>
      <c r="J83" s="282">
        <f t="shared" si="45"/>
        <v>0</v>
      </c>
      <c r="K83" s="283"/>
      <c r="L83" s="284">
        <f>VLOOKUP($A83,'[3]21-22_4_Level 4'!$A$7:$F$139,6,FALSE)</f>
        <v>28559</v>
      </c>
      <c r="M83" s="285"/>
      <c r="N83" s="279">
        <f>VLOOKUP($A83,'[4]Feb MFP_SCA'!$B$4:$K$124,10,FALSE)</f>
        <v>171</v>
      </c>
      <c r="O83" s="286">
        <f t="shared" si="46"/>
        <v>10089</v>
      </c>
      <c r="P83" s="281"/>
      <c r="Q83" s="286">
        <f t="shared" si="47"/>
        <v>10089</v>
      </c>
      <c r="R83" s="287">
        <f>VLOOKUP($A83,[5]MFP!$A$7:$E$139,4,FALSE)</f>
        <v>42</v>
      </c>
      <c r="S83" s="288">
        <f t="shared" si="48"/>
        <v>42000</v>
      </c>
      <c r="T83" s="288">
        <f t="shared" si="49"/>
        <v>10584</v>
      </c>
      <c r="U83" s="288">
        <f t="shared" si="50"/>
        <v>52584</v>
      </c>
      <c r="V83" s="287">
        <f>VLOOKUP($A83,[5]MFP!$A$7:$E$139,5,FALSE)</f>
        <v>18</v>
      </c>
      <c r="W83" s="288">
        <f t="shared" si="51"/>
        <v>9000</v>
      </c>
      <c r="X83" s="288">
        <f t="shared" si="52"/>
        <v>2583</v>
      </c>
      <c r="Y83" s="288">
        <f t="shared" si="53"/>
        <v>11583</v>
      </c>
      <c r="Z83" s="287">
        <f t="shared" si="54"/>
        <v>60</v>
      </c>
      <c r="AA83" s="288">
        <f t="shared" si="54"/>
        <v>51000</v>
      </c>
      <c r="AB83" s="288">
        <f t="shared" si="54"/>
        <v>13167</v>
      </c>
      <c r="AC83" s="289">
        <f t="shared" si="54"/>
        <v>64167</v>
      </c>
      <c r="AD83" s="287">
        <f>VLOOKUP($A83,[5]MFP!$A$7:$E$139,4,FALSE)</f>
        <v>42</v>
      </c>
      <c r="AE83" s="288">
        <f t="shared" si="55"/>
        <v>33600</v>
      </c>
      <c r="AF83" s="288">
        <f t="shared" si="56"/>
        <v>8467</v>
      </c>
      <c r="AG83" s="288">
        <f t="shared" si="57"/>
        <v>42067</v>
      </c>
      <c r="AH83" s="287">
        <f>VLOOKUP($A83,[5]MFP!$A$7:$E$139,5,FALSE)</f>
        <v>18</v>
      </c>
      <c r="AI83" s="288">
        <f t="shared" si="58"/>
        <v>7200</v>
      </c>
      <c r="AJ83" s="288">
        <f t="shared" si="59"/>
        <v>2066</v>
      </c>
      <c r="AK83" s="288">
        <f t="shared" si="60"/>
        <v>9266</v>
      </c>
      <c r="AL83" s="287">
        <f t="shared" si="61"/>
        <v>60</v>
      </c>
      <c r="AM83" s="288">
        <f t="shared" si="61"/>
        <v>40800</v>
      </c>
      <c r="AN83" s="288">
        <f t="shared" si="61"/>
        <v>10533</v>
      </c>
      <c r="AO83" s="290">
        <f t="shared" si="61"/>
        <v>51333</v>
      </c>
      <c r="AP83" s="291">
        <f t="shared" si="62"/>
        <v>154148</v>
      </c>
    </row>
    <row r="84" spans="1:42" s="333" customFormat="1" ht="15" customHeight="1" thickBot="1" x14ac:dyDescent="0.25">
      <c r="A84" s="317"/>
      <c r="B84" s="318"/>
      <c r="C84" s="319" t="s">
        <v>537</v>
      </c>
      <c r="D84" s="320">
        <f>SUM(D78:D83)</f>
        <v>0</v>
      </c>
      <c r="E84" s="321">
        <f t="shared" ref="E84:AP84" si="63">SUM(E78:E83)</f>
        <v>0</v>
      </c>
      <c r="F84" s="320">
        <f>SUM(F78:F83)</f>
        <v>0</v>
      </c>
      <c r="G84" s="322">
        <f t="shared" si="63"/>
        <v>0</v>
      </c>
      <c r="H84" s="320">
        <f>SUM(H78:H83)</f>
        <v>0</v>
      </c>
      <c r="I84" s="322">
        <f t="shared" si="63"/>
        <v>0</v>
      </c>
      <c r="J84" s="323">
        <f t="shared" si="63"/>
        <v>0</v>
      </c>
      <c r="K84" s="324">
        <f>SUM(K78:K83)</f>
        <v>0</v>
      </c>
      <c r="L84" s="325">
        <f>SUM(L78:L83)</f>
        <v>81573</v>
      </c>
      <c r="M84" s="326">
        <f t="shared" si="63"/>
        <v>0</v>
      </c>
      <c r="N84" s="320">
        <f t="shared" si="63"/>
        <v>1922</v>
      </c>
      <c r="O84" s="327">
        <f t="shared" si="63"/>
        <v>113398</v>
      </c>
      <c r="P84" s="322">
        <f t="shared" si="63"/>
        <v>0</v>
      </c>
      <c r="Q84" s="327">
        <f t="shared" si="63"/>
        <v>113398</v>
      </c>
      <c r="R84" s="328">
        <f t="shared" si="63"/>
        <v>299.63566419699998</v>
      </c>
      <c r="S84" s="329">
        <f t="shared" si="63"/>
        <v>299635</v>
      </c>
      <c r="T84" s="329">
        <f t="shared" si="63"/>
        <v>75508</v>
      </c>
      <c r="U84" s="329">
        <f t="shared" si="63"/>
        <v>375143</v>
      </c>
      <c r="V84" s="328">
        <f t="shared" si="63"/>
        <v>142.25819596400001</v>
      </c>
      <c r="W84" s="329">
        <f t="shared" si="63"/>
        <v>71130</v>
      </c>
      <c r="X84" s="329">
        <f t="shared" si="63"/>
        <v>20414</v>
      </c>
      <c r="Y84" s="329">
        <f t="shared" si="63"/>
        <v>91544</v>
      </c>
      <c r="Z84" s="328">
        <f t="shared" si="63"/>
        <v>441.89386016099996</v>
      </c>
      <c r="AA84" s="329">
        <f t="shared" si="63"/>
        <v>370765</v>
      </c>
      <c r="AB84" s="329">
        <f t="shared" si="63"/>
        <v>95922</v>
      </c>
      <c r="AC84" s="330">
        <f t="shared" si="63"/>
        <v>466687</v>
      </c>
      <c r="AD84" s="328">
        <f t="shared" si="63"/>
        <v>299.63566419699998</v>
      </c>
      <c r="AE84" s="329">
        <f t="shared" si="63"/>
        <v>239708</v>
      </c>
      <c r="AF84" s="329">
        <f t="shared" si="63"/>
        <v>60406</v>
      </c>
      <c r="AG84" s="329">
        <f t="shared" si="63"/>
        <v>300114</v>
      </c>
      <c r="AH84" s="328">
        <f t="shared" si="63"/>
        <v>142.25819596400001</v>
      </c>
      <c r="AI84" s="329">
        <f t="shared" si="63"/>
        <v>56904</v>
      </c>
      <c r="AJ84" s="329">
        <f t="shared" si="63"/>
        <v>16331</v>
      </c>
      <c r="AK84" s="329">
        <f t="shared" si="63"/>
        <v>73235</v>
      </c>
      <c r="AL84" s="328">
        <f t="shared" si="63"/>
        <v>441.89386016099996</v>
      </c>
      <c r="AM84" s="329">
        <f t="shared" si="63"/>
        <v>296612</v>
      </c>
      <c r="AN84" s="329">
        <f t="shared" si="63"/>
        <v>76737</v>
      </c>
      <c r="AO84" s="331">
        <f t="shared" si="63"/>
        <v>373349</v>
      </c>
      <c r="AP84" s="332">
        <f t="shared" si="63"/>
        <v>1035007</v>
      </c>
    </row>
    <row r="85" spans="1:42" ht="6.75" customHeight="1" thickTop="1" x14ac:dyDescent="0.2">
      <c r="A85" s="345"/>
      <c r="B85" s="346"/>
      <c r="C85" s="347"/>
      <c r="D85" s="337"/>
      <c r="E85" s="339"/>
      <c r="F85" s="348"/>
      <c r="G85" s="339"/>
      <c r="H85" s="349"/>
      <c r="I85" s="339"/>
      <c r="J85" s="339"/>
      <c r="K85" s="350"/>
      <c r="L85" s="339"/>
      <c r="M85" s="339"/>
      <c r="N85" s="337"/>
      <c r="O85" s="338"/>
      <c r="P85" s="339"/>
      <c r="Q85" s="338"/>
      <c r="R85" s="342"/>
      <c r="S85" s="343"/>
      <c r="T85" s="343"/>
      <c r="U85" s="343"/>
      <c r="V85" s="342"/>
      <c r="W85" s="343"/>
      <c r="X85" s="343"/>
      <c r="Y85" s="343"/>
      <c r="Z85" s="342"/>
      <c r="AA85" s="343"/>
      <c r="AB85" s="343"/>
      <c r="AC85" s="339"/>
      <c r="AD85" s="342"/>
      <c r="AE85" s="343"/>
      <c r="AF85" s="343"/>
      <c r="AG85" s="343"/>
      <c r="AH85" s="342"/>
      <c r="AI85" s="343"/>
      <c r="AJ85" s="343"/>
      <c r="AK85" s="343"/>
      <c r="AL85" s="342"/>
      <c r="AM85" s="343"/>
      <c r="AN85" s="343"/>
      <c r="AO85" s="343"/>
      <c r="AP85" s="338"/>
    </row>
    <row r="86" spans="1:42" ht="15" customHeight="1" x14ac:dyDescent="0.2">
      <c r="A86" s="243">
        <v>321001</v>
      </c>
      <c r="B86" s="244">
        <v>321001</v>
      </c>
      <c r="C86" s="245" t="s">
        <v>538</v>
      </c>
      <c r="D86" s="246">
        <f>VLOOKUP(A86,[2]Template!$A$3:$G$133,7,FALSE)</f>
        <v>0</v>
      </c>
      <c r="E86" s="247">
        <f t="shared" ref="E86:E92" si="64">ROUND($E$3*D86,0)</f>
        <v>0</v>
      </c>
      <c r="F86" s="246"/>
      <c r="G86" s="248">
        <f t="shared" ref="G86:G92" si="65">ROUND($G$3*F86,0)</f>
        <v>0</v>
      </c>
      <c r="H86" s="246"/>
      <c r="I86" s="248">
        <f t="shared" ref="I86:I92" si="66">ROUND($I$3*H86,0)</f>
        <v>0</v>
      </c>
      <c r="J86" s="249">
        <f t="shared" ref="J86:J92" si="67">G86+I86</f>
        <v>0</v>
      </c>
      <c r="K86" s="250"/>
      <c r="L86" s="251">
        <f>VLOOKUP($A86,'[3]21-22_4_Level 4'!$A$7:$F$139,6,FALSE)</f>
        <v>0</v>
      </c>
      <c r="M86" s="252"/>
      <c r="N86" s="246">
        <f>VLOOKUP($A86,'[4]Feb MFP_SCA'!$B$4:$K$124,10,FALSE)</f>
        <v>0</v>
      </c>
      <c r="O86" s="253">
        <f t="shared" ref="O86:O92" si="68">N86*$O$3</f>
        <v>0</v>
      </c>
      <c r="P86" s="248"/>
      <c r="Q86" s="253">
        <f t="shared" ref="Q86:Q92" si="69">O86+P86</f>
        <v>0</v>
      </c>
      <c r="R86" s="254">
        <f>VLOOKUP($A86,[5]MFP!$A$7:$E$139,4,FALSE)</f>
        <v>17</v>
      </c>
      <c r="S86" s="255">
        <f t="shared" ref="S86:S92" si="70">ROUND(R86*$S$3,0)</f>
        <v>17000</v>
      </c>
      <c r="T86" s="255">
        <f t="shared" ref="T86:T92" si="71">ROUND(S86*$T$3,0)</f>
        <v>4284</v>
      </c>
      <c r="U86" s="255">
        <f t="shared" ref="U86:U92" si="72">S86+T86</f>
        <v>21284</v>
      </c>
      <c r="V86" s="254">
        <f>VLOOKUP($A86,[5]MFP!$A$7:$E$139,5,FALSE)</f>
        <v>6.961538461</v>
      </c>
      <c r="W86" s="255">
        <f t="shared" ref="W86:W92" si="73">ROUND(V86*$W$3,0)</f>
        <v>3481</v>
      </c>
      <c r="X86" s="255">
        <f t="shared" ref="X86:X92" si="74">ROUND(W86*$X$3,0)</f>
        <v>999</v>
      </c>
      <c r="Y86" s="255">
        <f t="shared" ref="Y86:Y92" si="75">W86+X86</f>
        <v>4480</v>
      </c>
      <c r="Z86" s="254">
        <f t="shared" ref="Z86:AC92" si="76">R86+V86</f>
        <v>23.961538461</v>
      </c>
      <c r="AA86" s="255">
        <f t="shared" si="76"/>
        <v>20481</v>
      </c>
      <c r="AB86" s="255">
        <f t="shared" si="76"/>
        <v>5283</v>
      </c>
      <c r="AC86" s="256">
        <f t="shared" si="76"/>
        <v>25764</v>
      </c>
      <c r="AD86" s="254">
        <f>VLOOKUP($A86,[5]MFP!$A$7:$E$139,4,FALSE)</f>
        <v>17</v>
      </c>
      <c r="AE86" s="255">
        <f t="shared" ref="AE86:AE92" si="77">ROUND(AD86*$AE$3,0)</f>
        <v>13600</v>
      </c>
      <c r="AF86" s="255">
        <f t="shared" ref="AF86:AF92" si="78">ROUND(AE86*$AF$3,0)</f>
        <v>3427</v>
      </c>
      <c r="AG86" s="255">
        <f t="shared" ref="AG86:AG92" si="79">AE86+AF86</f>
        <v>17027</v>
      </c>
      <c r="AH86" s="254">
        <f>VLOOKUP($A86,[5]MFP!$A$7:$E$139,5,FALSE)</f>
        <v>6.961538461</v>
      </c>
      <c r="AI86" s="255">
        <f t="shared" ref="AI86:AI92" si="80">ROUND(AH86*$AI$3,0)</f>
        <v>2785</v>
      </c>
      <c r="AJ86" s="255">
        <f t="shared" ref="AJ86:AJ92" si="81">ROUND(AI86*$AJ$3,0)</f>
        <v>799</v>
      </c>
      <c r="AK86" s="255">
        <f t="shared" ref="AK86:AK92" si="82">AI86+AJ86</f>
        <v>3584</v>
      </c>
      <c r="AL86" s="254">
        <f t="shared" ref="AL86:AO92" si="83">AD86+AH86</f>
        <v>23.961538461</v>
      </c>
      <c r="AM86" s="255">
        <f t="shared" si="83"/>
        <v>16385</v>
      </c>
      <c r="AN86" s="255">
        <f t="shared" si="83"/>
        <v>4226</v>
      </c>
      <c r="AO86" s="257">
        <f t="shared" si="83"/>
        <v>20611</v>
      </c>
      <c r="AP86" s="258">
        <f t="shared" ref="AP86:AP92" si="84">E86+J86+L86+M86+Q86+AC86+AO86</f>
        <v>46375</v>
      </c>
    </row>
    <row r="87" spans="1:42" ht="15" customHeight="1" x14ac:dyDescent="0.2">
      <c r="A87" s="275">
        <v>329001</v>
      </c>
      <c r="B87" s="260">
        <v>329001</v>
      </c>
      <c r="C87" s="261" t="s">
        <v>539</v>
      </c>
      <c r="D87" s="262">
        <f>VLOOKUP(A87,[2]Template!$A$3:$G$133,7,FALSE)</f>
        <v>0</v>
      </c>
      <c r="E87" s="263">
        <f t="shared" si="64"/>
        <v>0</v>
      </c>
      <c r="F87" s="262"/>
      <c r="G87" s="264">
        <f t="shared" si="65"/>
        <v>0</v>
      </c>
      <c r="H87" s="262"/>
      <c r="I87" s="264">
        <f t="shared" si="66"/>
        <v>0</v>
      </c>
      <c r="J87" s="265">
        <f t="shared" si="67"/>
        <v>0</v>
      </c>
      <c r="K87" s="266"/>
      <c r="L87" s="267">
        <f>VLOOKUP($A87,'[3]21-22_4_Level 4'!$A$7:$F$139,6,FALSE)</f>
        <v>10000</v>
      </c>
      <c r="M87" s="268"/>
      <c r="N87" s="262">
        <f>VLOOKUP($A87,'[4]Feb MFP_SCA'!$B$4:$K$124,10,FALSE)</f>
        <v>99</v>
      </c>
      <c r="O87" s="269">
        <f t="shared" si="68"/>
        <v>5841</v>
      </c>
      <c r="P87" s="264"/>
      <c r="Q87" s="269">
        <f t="shared" si="69"/>
        <v>5841</v>
      </c>
      <c r="R87" s="270">
        <f>VLOOKUP($A87,[5]MFP!$A$7:$E$139,4,FALSE)</f>
        <v>31.91</v>
      </c>
      <c r="S87" s="271">
        <f t="shared" si="70"/>
        <v>31910</v>
      </c>
      <c r="T87" s="271">
        <f t="shared" si="71"/>
        <v>8041</v>
      </c>
      <c r="U87" s="271">
        <f t="shared" si="72"/>
        <v>39951</v>
      </c>
      <c r="V87" s="270">
        <f>VLOOKUP($A87,[5]MFP!$A$7:$E$139,5,FALSE)</f>
        <v>18.941615427995998</v>
      </c>
      <c r="W87" s="271">
        <f t="shared" si="73"/>
        <v>9471</v>
      </c>
      <c r="X87" s="271">
        <f t="shared" si="74"/>
        <v>2718</v>
      </c>
      <c r="Y87" s="271">
        <f t="shared" si="75"/>
        <v>12189</v>
      </c>
      <c r="Z87" s="270">
        <f t="shared" si="76"/>
        <v>50.851615427995995</v>
      </c>
      <c r="AA87" s="271">
        <f t="shared" si="76"/>
        <v>41381</v>
      </c>
      <c r="AB87" s="271">
        <f t="shared" si="76"/>
        <v>10759</v>
      </c>
      <c r="AC87" s="272">
        <f t="shared" si="76"/>
        <v>52140</v>
      </c>
      <c r="AD87" s="270">
        <f>VLOOKUP($A87,[5]MFP!$A$7:$E$139,4,FALSE)</f>
        <v>31.91</v>
      </c>
      <c r="AE87" s="271">
        <f t="shared" si="77"/>
        <v>25528</v>
      </c>
      <c r="AF87" s="271">
        <f t="shared" si="78"/>
        <v>6433</v>
      </c>
      <c r="AG87" s="271">
        <f t="shared" si="79"/>
        <v>31961</v>
      </c>
      <c r="AH87" s="270">
        <f>VLOOKUP($A87,[5]MFP!$A$7:$E$139,5,FALSE)</f>
        <v>18.941615427995998</v>
      </c>
      <c r="AI87" s="271">
        <f t="shared" si="80"/>
        <v>7577</v>
      </c>
      <c r="AJ87" s="271">
        <f t="shared" si="81"/>
        <v>2175</v>
      </c>
      <c r="AK87" s="271">
        <f t="shared" si="82"/>
        <v>9752</v>
      </c>
      <c r="AL87" s="270">
        <f t="shared" si="83"/>
        <v>50.851615427995995</v>
      </c>
      <c r="AM87" s="271">
        <f t="shared" si="83"/>
        <v>33105</v>
      </c>
      <c r="AN87" s="271">
        <f t="shared" si="83"/>
        <v>8608</v>
      </c>
      <c r="AO87" s="273">
        <f t="shared" si="83"/>
        <v>41713</v>
      </c>
      <c r="AP87" s="274">
        <f t="shared" si="84"/>
        <v>109694</v>
      </c>
    </row>
    <row r="88" spans="1:42" ht="15" customHeight="1" x14ac:dyDescent="0.2">
      <c r="A88" s="275">
        <v>331001</v>
      </c>
      <c r="B88" s="260">
        <v>331001</v>
      </c>
      <c r="C88" s="261" t="s">
        <v>540</v>
      </c>
      <c r="D88" s="262">
        <f>VLOOKUP(A88,[2]Template!$A$3:$G$133,7,FALSE)</f>
        <v>20</v>
      </c>
      <c r="E88" s="263">
        <f t="shared" si="64"/>
        <v>420000</v>
      </c>
      <c r="F88" s="262"/>
      <c r="G88" s="264">
        <f t="shared" si="65"/>
        <v>0</v>
      </c>
      <c r="H88" s="262"/>
      <c r="I88" s="264">
        <f t="shared" si="66"/>
        <v>0</v>
      </c>
      <c r="J88" s="265">
        <f t="shared" si="67"/>
        <v>0</v>
      </c>
      <c r="K88" s="266"/>
      <c r="L88" s="267">
        <f>VLOOKUP($A88,'[3]21-22_4_Level 4'!$A$7:$F$139,6,FALSE)</f>
        <v>0</v>
      </c>
      <c r="M88" s="268"/>
      <c r="N88" s="262">
        <f>VLOOKUP($A88,'[4]Feb MFP_SCA'!$B$4:$K$124,10,FALSE)</f>
        <v>200</v>
      </c>
      <c r="O88" s="269">
        <f t="shared" si="68"/>
        <v>11800</v>
      </c>
      <c r="P88" s="264"/>
      <c r="Q88" s="269">
        <f t="shared" si="69"/>
        <v>11800</v>
      </c>
      <c r="R88" s="270">
        <f>VLOOKUP($A88,[5]MFP!$A$7:$E$139,4,FALSE)</f>
        <v>128.40825869161898</v>
      </c>
      <c r="S88" s="271">
        <f t="shared" si="70"/>
        <v>128408</v>
      </c>
      <c r="T88" s="271">
        <f t="shared" si="71"/>
        <v>32359</v>
      </c>
      <c r="U88" s="271">
        <f t="shared" si="72"/>
        <v>160767</v>
      </c>
      <c r="V88" s="270">
        <f>VLOOKUP($A88,[5]MFP!$A$7:$E$139,5,FALSE)</f>
        <v>83.850167520379983</v>
      </c>
      <c r="W88" s="271">
        <f t="shared" si="73"/>
        <v>41925</v>
      </c>
      <c r="X88" s="271">
        <f t="shared" si="74"/>
        <v>12032</v>
      </c>
      <c r="Y88" s="271">
        <f t="shared" si="75"/>
        <v>53957</v>
      </c>
      <c r="Z88" s="270">
        <f t="shared" si="76"/>
        <v>212.25842621199897</v>
      </c>
      <c r="AA88" s="271">
        <f t="shared" si="76"/>
        <v>170333</v>
      </c>
      <c r="AB88" s="271">
        <f t="shared" si="76"/>
        <v>44391</v>
      </c>
      <c r="AC88" s="272">
        <f t="shared" si="76"/>
        <v>214724</v>
      </c>
      <c r="AD88" s="270">
        <f>VLOOKUP($A88,[5]MFP!$A$7:$E$139,4,FALSE)</f>
        <v>128.40825869161898</v>
      </c>
      <c r="AE88" s="271">
        <f t="shared" si="77"/>
        <v>102727</v>
      </c>
      <c r="AF88" s="271">
        <f t="shared" si="78"/>
        <v>25887</v>
      </c>
      <c r="AG88" s="271">
        <f t="shared" si="79"/>
        <v>128614</v>
      </c>
      <c r="AH88" s="270">
        <f>VLOOKUP($A88,[5]MFP!$A$7:$E$139,5,FALSE)</f>
        <v>83.850167520379983</v>
      </c>
      <c r="AI88" s="271">
        <f t="shared" si="80"/>
        <v>33540</v>
      </c>
      <c r="AJ88" s="271">
        <f t="shared" si="81"/>
        <v>9626</v>
      </c>
      <c r="AK88" s="271">
        <f t="shared" si="82"/>
        <v>43166</v>
      </c>
      <c r="AL88" s="270">
        <f t="shared" si="83"/>
        <v>212.25842621199897</v>
      </c>
      <c r="AM88" s="271">
        <f t="shared" si="83"/>
        <v>136267</v>
      </c>
      <c r="AN88" s="271">
        <f t="shared" si="83"/>
        <v>35513</v>
      </c>
      <c r="AO88" s="273">
        <f t="shared" si="83"/>
        <v>171780</v>
      </c>
      <c r="AP88" s="274">
        <f t="shared" si="84"/>
        <v>818304</v>
      </c>
    </row>
    <row r="89" spans="1:42" ht="15" customHeight="1" x14ac:dyDescent="0.2">
      <c r="A89" s="275">
        <v>333001</v>
      </c>
      <c r="B89" s="260">
        <v>333001</v>
      </c>
      <c r="C89" s="261" t="s">
        <v>541</v>
      </c>
      <c r="D89" s="262">
        <f>VLOOKUP(A89,[2]Template!$A$3:$G$133,7,FALSE)</f>
        <v>0</v>
      </c>
      <c r="E89" s="263">
        <f t="shared" si="64"/>
        <v>0</v>
      </c>
      <c r="F89" s="262"/>
      <c r="G89" s="264">
        <f t="shared" si="65"/>
        <v>0</v>
      </c>
      <c r="H89" s="262"/>
      <c r="I89" s="264">
        <f t="shared" si="66"/>
        <v>0</v>
      </c>
      <c r="J89" s="265">
        <f t="shared" si="67"/>
        <v>0</v>
      </c>
      <c r="K89" s="266"/>
      <c r="L89" s="267">
        <f>VLOOKUP($A89,'[3]21-22_4_Level 4'!$A$7:$F$139,6,FALSE)</f>
        <v>10000</v>
      </c>
      <c r="M89" s="268"/>
      <c r="N89" s="262">
        <f>VLOOKUP($A89,'[4]Feb MFP_SCA'!$B$4:$K$124,10,FALSE)</f>
        <v>310</v>
      </c>
      <c r="O89" s="269">
        <f t="shared" si="68"/>
        <v>18290</v>
      </c>
      <c r="P89" s="264"/>
      <c r="Q89" s="269">
        <f t="shared" si="69"/>
        <v>18290</v>
      </c>
      <c r="R89" s="270">
        <f>VLOOKUP($A89,[5]MFP!$A$7:$E$139,4,FALSE)</f>
        <v>39.950000000000003</v>
      </c>
      <c r="S89" s="271">
        <f t="shared" si="70"/>
        <v>39950</v>
      </c>
      <c r="T89" s="271">
        <f t="shared" si="71"/>
        <v>10067</v>
      </c>
      <c r="U89" s="271">
        <f t="shared" si="72"/>
        <v>50017</v>
      </c>
      <c r="V89" s="270">
        <f>VLOOKUP($A89,[5]MFP!$A$7:$E$139,5,FALSE)</f>
        <v>25.1</v>
      </c>
      <c r="W89" s="271">
        <f t="shared" si="73"/>
        <v>12550</v>
      </c>
      <c r="X89" s="271">
        <f t="shared" si="74"/>
        <v>3602</v>
      </c>
      <c r="Y89" s="271">
        <f t="shared" si="75"/>
        <v>16152</v>
      </c>
      <c r="Z89" s="270">
        <f t="shared" si="76"/>
        <v>65.050000000000011</v>
      </c>
      <c r="AA89" s="271">
        <f t="shared" si="76"/>
        <v>52500</v>
      </c>
      <c r="AB89" s="271">
        <f t="shared" si="76"/>
        <v>13669</v>
      </c>
      <c r="AC89" s="272">
        <f t="shared" si="76"/>
        <v>66169</v>
      </c>
      <c r="AD89" s="270">
        <f>VLOOKUP($A89,[5]MFP!$A$7:$E$139,4,FALSE)</f>
        <v>39.950000000000003</v>
      </c>
      <c r="AE89" s="271">
        <f t="shared" si="77"/>
        <v>31960</v>
      </c>
      <c r="AF89" s="271">
        <f t="shared" si="78"/>
        <v>8054</v>
      </c>
      <c r="AG89" s="271">
        <f t="shared" si="79"/>
        <v>40014</v>
      </c>
      <c r="AH89" s="270">
        <f>VLOOKUP($A89,[5]MFP!$A$7:$E$139,5,FALSE)</f>
        <v>25.1</v>
      </c>
      <c r="AI89" s="271">
        <f t="shared" si="80"/>
        <v>10040</v>
      </c>
      <c r="AJ89" s="271">
        <f t="shared" si="81"/>
        <v>2881</v>
      </c>
      <c r="AK89" s="271">
        <f t="shared" si="82"/>
        <v>12921</v>
      </c>
      <c r="AL89" s="270">
        <f t="shared" si="83"/>
        <v>65.050000000000011</v>
      </c>
      <c r="AM89" s="271">
        <f t="shared" si="83"/>
        <v>42000</v>
      </c>
      <c r="AN89" s="271">
        <f t="shared" si="83"/>
        <v>10935</v>
      </c>
      <c r="AO89" s="273">
        <f t="shared" si="83"/>
        <v>52935</v>
      </c>
      <c r="AP89" s="274">
        <f t="shared" si="84"/>
        <v>147394</v>
      </c>
    </row>
    <row r="90" spans="1:42" ht="15" customHeight="1" x14ac:dyDescent="0.2">
      <c r="A90" s="276">
        <v>336001</v>
      </c>
      <c r="B90" s="277">
        <v>336001</v>
      </c>
      <c r="C90" s="278" t="s">
        <v>542</v>
      </c>
      <c r="D90" s="279">
        <f>VLOOKUP(A90,[2]Template!$A$3:$G$133,7,FALSE)</f>
        <v>0</v>
      </c>
      <c r="E90" s="280">
        <f t="shared" si="64"/>
        <v>0</v>
      </c>
      <c r="F90" s="279"/>
      <c r="G90" s="281">
        <f t="shared" si="65"/>
        <v>0</v>
      </c>
      <c r="H90" s="279"/>
      <c r="I90" s="281">
        <f t="shared" si="66"/>
        <v>0</v>
      </c>
      <c r="J90" s="282">
        <f t="shared" si="67"/>
        <v>0</v>
      </c>
      <c r="K90" s="283"/>
      <c r="L90" s="284">
        <f>VLOOKUP($A90,'[3]21-22_4_Level 4'!$A$7:$F$139,6,FALSE)</f>
        <v>41211</v>
      </c>
      <c r="M90" s="285"/>
      <c r="N90" s="279">
        <f>VLOOKUP($A90,'[4]Feb MFP_SCA'!$B$4:$K$124,10,FALSE)</f>
        <v>374</v>
      </c>
      <c r="O90" s="286">
        <f t="shared" si="68"/>
        <v>22066</v>
      </c>
      <c r="P90" s="281"/>
      <c r="Q90" s="286">
        <f t="shared" si="69"/>
        <v>22066</v>
      </c>
      <c r="R90" s="287">
        <f>VLOOKUP($A90,[5]MFP!$A$7:$E$139,4,FALSE)</f>
        <v>52.999999999985</v>
      </c>
      <c r="S90" s="288">
        <f t="shared" si="70"/>
        <v>53000</v>
      </c>
      <c r="T90" s="288">
        <f t="shared" si="71"/>
        <v>13356</v>
      </c>
      <c r="U90" s="288">
        <f t="shared" si="72"/>
        <v>66356</v>
      </c>
      <c r="V90" s="287">
        <f>VLOOKUP($A90,[5]MFP!$A$7:$E$139,5,FALSE)</f>
        <v>55.999999999997996</v>
      </c>
      <c r="W90" s="288">
        <f t="shared" si="73"/>
        <v>28000</v>
      </c>
      <c r="X90" s="288">
        <f t="shared" si="74"/>
        <v>8036</v>
      </c>
      <c r="Y90" s="288">
        <f t="shared" si="75"/>
        <v>36036</v>
      </c>
      <c r="Z90" s="287">
        <f t="shared" si="76"/>
        <v>108.999999999983</v>
      </c>
      <c r="AA90" s="288">
        <f t="shared" si="76"/>
        <v>81000</v>
      </c>
      <c r="AB90" s="288">
        <f t="shared" si="76"/>
        <v>21392</v>
      </c>
      <c r="AC90" s="289">
        <f t="shared" si="76"/>
        <v>102392</v>
      </c>
      <c r="AD90" s="287">
        <f>VLOOKUP($A90,[5]MFP!$A$7:$E$139,4,FALSE)</f>
        <v>52.999999999985</v>
      </c>
      <c r="AE90" s="288">
        <f t="shared" si="77"/>
        <v>42400</v>
      </c>
      <c r="AF90" s="288">
        <f t="shared" si="78"/>
        <v>10685</v>
      </c>
      <c r="AG90" s="288">
        <f t="shared" si="79"/>
        <v>53085</v>
      </c>
      <c r="AH90" s="287">
        <f>VLOOKUP($A90,[5]MFP!$A$7:$E$139,5,FALSE)</f>
        <v>55.999999999997996</v>
      </c>
      <c r="AI90" s="288">
        <f t="shared" si="80"/>
        <v>22400</v>
      </c>
      <c r="AJ90" s="288">
        <f t="shared" si="81"/>
        <v>6429</v>
      </c>
      <c r="AK90" s="288">
        <f t="shared" si="82"/>
        <v>28829</v>
      </c>
      <c r="AL90" s="287">
        <f t="shared" si="83"/>
        <v>108.999999999983</v>
      </c>
      <c r="AM90" s="288">
        <f t="shared" si="83"/>
        <v>64800</v>
      </c>
      <c r="AN90" s="288">
        <f t="shared" si="83"/>
        <v>17114</v>
      </c>
      <c r="AO90" s="290">
        <f t="shared" si="83"/>
        <v>81914</v>
      </c>
      <c r="AP90" s="291">
        <f t="shared" si="84"/>
        <v>247583</v>
      </c>
    </row>
    <row r="91" spans="1:42" ht="15" customHeight="1" x14ac:dyDescent="0.2">
      <c r="A91" s="275">
        <v>337001</v>
      </c>
      <c r="B91" s="260">
        <v>337001</v>
      </c>
      <c r="C91" s="261" t="s">
        <v>543</v>
      </c>
      <c r="D91" s="262">
        <f>VLOOKUP(A91,[2]Template!$A$3:$G$133,7,FALSE)</f>
        <v>0</v>
      </c>
      <c r="E91" s="311">
        <f t="shared" si="64"/>
        <v>0</v>
      </c>
      <c r="F91" s="262"/>
      <c r="G91" s="264">
        <f t="shared" si="65"/>
        <v>0</v>
      </c>
      <c r="H91" s="262"/>
      <c r="I91" s="264">
        <f t="shared" si="66"/>
        <v>0</v>
      </c>
      <c r="J91" s="265">
        <f t="shared" si="67"/>
        <v>0</v>
      </c>
      <c r="K91" s="266"/>
      <c r="L91" s="267">
        <f>VLOOKUP($A91,'[3]21-22_4_Level 4'!$A$7:$F$139,6,FALSE)</f>
        <v>0</v>
      </c>
      <c r="M91" s="268"/>
      <c r="N91" s="262">
        <f>VLOOKUP($A91,'[4]Feb MFP_SCA'!$B$4:$K$124,10,FALSE)</f>
        <v>165</v>
      </c>
      <c r="O91" s="269">
        <f t="shared" si="68"/>
        <v>9735</v>
      </c>
      <c r="P91" s="264"/>
      <c r="Q91" s="269">
        <f t="shared" si="69"/>
        <v>9735</v>
      </c>
      <c r="R91" s="270">
        <f>VLOOKUP($A91,[5]MFP!$A$7:$E$139,4,FALSE)</f>
        <v>77</v>
      </c>
      <c r="S91" s="271">
        <f t="shared" si="70"/>
        <v>77000</v>
      </c>
      <c r="T91" s="271">
        <f t="shared" si="71"/>
        <v>19404</v>
      </c>
      <c r="U91" s="271">
        <f t="shared" si="72"/>
        <v>96404</v>
      </c>
      <c r="V91" s="270">
        <f>VLOOKUP($A91,[5]MFP!$A$7:$E$139,5,FALSE)</f>
        <v>108.5</v>
      </c>
      <c r="W91" s="271">
        <f t="shared" si="73"/>
        <v>54250</v>
      </c>
      <c r="X91" s="271">
        <f t="shared" si="74"/>
        <v>15570</v>
      </c>
      <c r="Y91" s="271">
        <f t="shared" si="75"/>
        <v>69820</v>
      </c>
      <c r="Z91" s="270">
        <f t="shared" si="76"/>
        <v>185.5</v>
      </c>
      <c r="AA91" s="271">
        <f t="shared" si="76"/>
        <v>131250</v>
      </c>
      <c r="AB91" s="271">
        <f t="shared" si="76"/>
        <v>34974</v>
      </c>
      <c r="AC91" s="312">
        <f t="shared" si="76"/>
        <v>166224</v>
      </c>
      <c r="AD91" s="270">
        <f>VLOOKUP($A91,[5]MFP!$A$7:$E$139,4,FALSE)</f>
        <v>77</v>
      </c>
      <c r="AE91" s="271">
        <f t="shared" si="77"/>
        <v>61600</v>
      </c>
      <c r="AF91" s="271">
        <f t="shared" si="78"/>
        <v>15523</v>
      </c>
      <c r="AG91" s="271">
        <f t="shared" si="79"/>
        <v>77123</v>
      </c>
      <c r="AH91" s="270">
        <f>VLOOKUP($A91,[5]MFP!$A$7:$E$139,5,FALSE)</f>
        <v>108.5</v>
      </c>
      <c r="AI91" s="271">
        <f t="shared" si="80"/>
        <v>43400</v>
      </c>
      <c r="AJ91" s="271">
        <f t="shared" si="81"/>
        <v>12456</v>
      </c>
      <c r="AK91" s="271">
        <f t="shared" si="82"/>
        <v>55856</v>
      </c>
      <c r="AL91" s="270">
        <f t="shared" si="83"/>
        <v>185.5</v>
      </c>
      <c r="AM91" s="271">
        <f t="shared" si="83"/>
        <v>105000</v>
      </c>
      <c r="AN91" s="271">
        <f t="shared" si="83"/>
        <v>27979</v>
      </c>
      <c r="AO91" s="273">
        <f t="shared" si="83"/>
        <v>132979</v>
      </c>
      <c r="AP91" s="274">
        <f t="shared" si="84"/>
        <v>308938</v>
      </c>
    </row>
    <row r="92" spans="1:42" ht="15" customHeight="1" x14ac:dyDescent="0.2">
      <c r="A92" s="276">
        <v>340001</v>
      </c>
      <c r="B92" s="277">
        <v>340001</v>
      </c>
      <c r="C92" s="278" t="s">
        <v>544</v>
      </c>
      <c r="D92" s="279">
        <f>VLOOKUP(A92,[2]Template!$A$3:$G$133,7,FALSE)</f>
        <v>0</v>
      </c>
      <c r="E92" s="315">
        <f t="shared" si="64"/>
        <v>0</v>
      </c>
      <c r="F92" s="279"/>
      <c r="G92" s="281">
        <f t="shared" si="65"/>
        <v>0</v>
      </c>
      <c r="H92" s="279"/>
      <c r="I92" s="281">
        <f t="shared" si="66"/>
        <v>0</v>
      </c>
      <c r="J92" s="282">
        <f t="shared" si="67"/>
        <v>0</v>
      </c>
      <c r="K92" s="283"/>
      <c r="L92" s="284">
        <f>VLOOKUP($A92,'[3]21-22_4_Level 4'!$A$7:$F$139,6,FALSE)</f>
        <v>0</v>
      </c>
      <c r="M92" s="285"/>
      <c r="N92" s="279">
        <f>VLOOKUP($A92,'[4]Feb MFP_SCA'!$B$4:$K$124,10,FALSE)</f>
        <v>28</v>
      </c>
      <c r="O92" s="286">
        <f t="shared" si="68"/>
        <v>1652</v>
      </c>
      <c r="P92" s="281"/>
      <c r="Q92" s="286">
        <f t="shared" si="69"/>
        <v>1652</v>
      </c>
      <c r="R92" s="287">
        <f>VLOOKUP($A92,[5]MFP!$A$7:$E$139,4,FALSE)</f>
        <v>12</v>
      </c>
      <c r="S92" s="288">
        <f t="shared" si="70"/>
        <v>12000</v>
      </c>
      <c r="T92" s="288">
        <f t="shared" si="71"/>
        <v>3024</v>
      </c>
      <c r="U92" s="288">
        <f t="shared" si="72"/>
        <v>15024</v>
      </c>
      <c r="V92" s="287">
        <f>VLOOKUP($A92,[5]MFP!$A$7:$E$139,5,FALSE)</f>
        <v>12.571428571</v>
      </c>
      <c r="W92" s="288">
        <f t="shared" si="73"/>
        <v>6286</v>
      </c>
      <c r="X92" s="288">
        <f t="shared" si="74"/>
        <v>1804</v>
      </c>
      <c r="Y92" s="288">
        <f t="shared" si="75"/>
        <v>8090</v>
      </c>
      <c r="Z92" s="287">
        <f t="shared" si="76"/>
        <v>24.571428570999998</v>
      </c>
      <c r="AA92" s="288">
        <f t="shared" si="76"/>
        <v>18286</v>
      </c>
      <c r="AB92" s="288">
        <f t="shared" si="76"/>
        <v>4828</v>
      </c>
      <c r="AC92" s="316">
        <f t="shared" si="76"/>
        <v>23114</v>
      </c>
      <c r="AD92" s="287">
        <f>VLOOKUP($A92,[5]MFP!$A$7:$E$139,4,FALSE)</f>
        <v>12</v>
      </c>
      <c r="AE92" s="288">
        <f t="shared" si="77"/>
        <v>9600</v>
      </c>
      <c r="AF92" s="288">
        <f t="shared" si="78"/>
        <v>2419</v>
      </c>
      <c r="AG92" s="288">
        <f t="shared" si="79"/>
        <v>12019</v>
      </c>
      <c r="AH92" s="287">
        <f>VLOOKUP($A92,[5]MFP!$A$7:$E$139,5,FALSE)</f>
        <v>12.571428571</v>
      </c>
      <c r="AI92" s="288">
        <f t="shared" si="80"/>
        <v>5029</v>
      </c>
      <c r="AJ92" s="288">
        <f t="shared" si="81"/>
        <v>1443</v>
      </c>
      <c r="AK92" s="288">
        <f t="shared" si="82"/>
        <v>6472</v>
      </c>
      <c r="AL92" s="287">
        <f t="shared" si="83"/>
        <v>24.571428570999998</v>
      </c>
      <c r="AM92" s="288">
        <f t="shared" si="83"/>
        <v>14629</v>
      </c>
      <c r="AN92" s="288">
        <f t="shared" si="83"/>
        <v>3862</v>
      </c>
      <c r="AO92" s="290">
        <f t="shared" si="83"/>
        <v>18491</v>
      </c>
      <c r="AP92" s="291">
        <f t="shared" si="84"/>
        <v>43257</v>
      </c>
    </row>
    <row r="93" spans="1:42" s="333" customFormat="1" ht="15" customHeight="1" thickBot="1" x14ac:dyDescent="0.25">
      <c r="A93" s="317"/>
      <c r="B93" s="318"/>
      <c r="C93" s="319" t="s">
        <v>545</v>
      </c>
      <c r="D93" s="320">
        <f>SUM(D86:D92)</f>
        <v>20</v>
      </c>
      <c r="E93" s="321">
        <f>SUM(E86:E92)</f>
        <v>420000</v>
      </c>
      <c r="F93" s="320">
        <f>SUM(F86:F92)</f>
        <v>0</v>
      </c>
      <c r="G93" s="322">
        <f>SUM(G86:G92)</f>
        <v>0</v>
      </c>
      <c r="H93" s="320">
        <f>SUM(H86:H92)</f>
        <v>0</v>
      </c>
      <c r="I93" s="322">
        <f t="shared" ref="I93:AP93" si="85">SUM(I86:I92)</f>
        <v>0</v>
      </c>
      <c r="J93" s="323">
        <f t="shared" si="85"/>
        <v>0</v>
      </c>
      <c r="K93" s="324">
        <f t="shared" si="85"/>
        <v>0</v>
      </c>
      <c r="L93" s="325">
        <f>SUM(L86:L92)</f>
        <v>61211</v>
      </c>
      <c r="M93" s="326">
        <f t="shared" si="85"/>
        <v>0</v>
      </c>
      <c r="N93" s="320">
        <f t="shared" si="85"/>
        <v>1176</v>
      </c>
      <c r="O93" s="327">
        <f t="shared" si="85"/>
        <v>69384</v>
      </c>
      <c r="P93" s="322">
        <f t="shared" si="85"/>
        <v>0</v>
      </c>
      <c r="Q93" s="327">
        <f t="shared" si="85"/>
        <v>69384</v>
      </c>
      <c r="R93" s="328">
        <f t="shared" si="85"/>
        <v>359.26825869160399</v>
      </c>
      <c r="S93" s="329">
        <f t="shared" si="85"/>
        <v>359268</v>
      </c>
      <c r="T93" s="329">
        <f t="shared" si="85"/>
        <v>90535</v>
      </c>
      <c r="U93" s="329">
        <f t="shared" si="85"/>
        <v>449803</v>
      </c>
      <c r="V93" s="328">
        <f t="shared" si="85"/>
        <v>311.92474998037397</v>
      </c>
      <c r="W93" s="329">
        <f t="shared" si="85"/>
        <v>155963</v>
      </c>
      <c r="X93" s="329">
        <f t="shared" si="85"/>
        <v>44761</v>
      </c>
      <c r="Y93" s="329">
        <f t="shared" si="85"/>
        <v>200724</v>
      </c>
      <c r="Z93" s="328">
        <f t="shared" si="85"/>
        <v>671.19300867197796</v>
      </c>
      <c r="AA93" s="329">
        <f t="shared" si="85"/>
        <v>515231</v>
      </c>
      <c r="AB93" s="329">
        <f t="shared" si="85"/>
        <v>135296</v>
      </c>
      <c r="AC93" s="330">
        <f t="shared" si="85"/>
        <v>650527</v>
      </c>
      <c r="AD93" s="328">
        <f t="shared" si="85"/>
        <v>359.26825869160399</v>
      </c>
      <c r="AE93" s="329">
        <f t="shared" si="85"/>
        <v>287415</v>
      </c>
      <c r="AF93" s="329">
        <f t="shared" si="85"/>
        <v>72428</v>
      </c>
      <c r="AG93" s="329">
        <f t="shared" si="85"/>
        <v>359843</v>
      </c>
      <c r="AH93" s="328">
        <f t="shared" si="85"/>
        <v>311.92474998037397</v>
      </c>
      <c r="AI93" s="329">
        <f t="shared" si="85"/>
        <v>124771</v>
      </c>
      <c r="AJ93" s="329">
        <f t="shared" si="85"/>
        <v>35809</v>
      </c>
      <c r="AK93" s="329">
        <f t="shared" si="85"/>
        <v>160580</v>
      </c>
      <c r="AL93" s="328">
        <f t="shared" si="85"/>
        <v>671.19300867197796</v>
      </c>
      <c r="AM93" s="329">
        <f t="shared" si="85"/>
        <v>412186</v>
      </c>
      <c r="AN93" s="329">
        <f t="shared" si="85"/>
        <v>108237</v>
      </c>
      <c r="AO93" s="331">
        <f t="shared" si="85"/>
        <v>520423</v>
      </c>
      <c r="AP93" s="332">
        <f t="shared" si="85"/>
        <v>1721545</v>
      </c>
    </row>
    <row r="94" spans="1:42" ht="6.75" customHeight="1" thickTop="1" x14ac:dyDescent="0.2">
      <c r="A94" s="345"/>
      <c r="B94" s="346"/>
      <c r="C94" s="347"/>
      <c r="D94" s="337"/>
      <c r="E94" s="339"/>
      <c r="F94" s="348"/>
      <c r="G94" s="339"/>
      <c r="H94" s="349"/>
      <c r="I94" s="339"/>
      <c r="J94" s="339"/>
      <c r="K94" s="350"/>
      <c r="L94" s="339"/>
      <c r="M94" s="339"/>
      <c r="N94" s="337"/>
      <c r="O94" s="338"/>
      <c r="P94" s="339"/>
      <c r="Q94" s="338"/>
      <c r="R94" s="342"/>
      <c r="S94" s="343"/>
      <c r="T94" s="343"/>
      <c r="U94" s="343"/>
      <c r="V94" s="342"/>
      <c r="W94" s="343"/>
      <c r="X94" s="343"/>
      <c r="Y94" s="343"/>
      <c r="Z94" s="342"/>
      <c r="AA94" s="343"/>
      <c r="AB94" s="343"/>
      <c r="AC94" s="339"/>
      <c r="AD94" s="342"/>
      <c r="AE94" s="343"/>
      <c r="AF94" s="343"/>
      <c r="AG94" s="343"/>
      <c r="AH94" s="342"/>
      <c r="AI94" s="343"/>
      <c r="AJ94" s="343"/>
      <c r="AK94" s="343"/>
      <c r="AL94" s="342"/>
      <c r="AM94" s="343"/>
      <c r="AN94" s="343"/>
      <c r="AO94" s="343"/>
      <c r="AP94" s="338"/>
    </row>
    <row r="95" spans="1:42" ht="15" customHeight="1" x14ac:dyDescent="0.2">
      <c r="A95" s="243">
        <v>341001</v>
      </c>
      <c r="B95" s="244">
        <v>341001</v>
      </c>
      <c r="C95" s="245" t="s">
        <v>546</v>
      </c>
      <c r="D95" s="246">
        <f>VLOOKUP(A95,[2]Template!$A$3:$G$133,7,FALSE)</f>
        <v>0</v>
      </c>
      <c r="E95" s="247">
        <f t="shared" ref="E95:E127" si="86">ROUND($E$3*D95,0)</f>
        <v>0</v>
      </c>
      <c r="F95" s="246"/>
      <c r="G95" s="248">
        <f t="shared" ref="G95:G127" si="87">ROUND($G$3*F95,0)</f>
        <v>0</v>
      </c>
      <c r="H95" s="246"/>
      <c r="I95" s="248">
        <f t="shared" ref="I95:I127" si="88">ROUND($I$3*H95,0)</f>
        <v>0</v>
      </c>
      <c r="J95" s="249">
        <f t="shared" ref="J95:J127" si="89">G95+I95</f>
        <v>0</v>
      </c>
      <c r="K95" s="250"/>
      <c r="L95" s="251">
        <f>VLOOKUP($A95,'[3]21-22_4_Level 4'!$A$7:$F$139,6,FALSE)</f>
        <v>36150</v>
      </c>
      <c r="M95" s="252"/>
      <c r="N95" s="246">
        <f>VLOOKUP($A95,'[4]Feb MFP_SCA'!$B$4:$K$124,10,FALSE)</f>
        <v>410</v>
      </c>
      <c r="O95" s="253">
        <f t="shared" ref="O95:O127" si="90">N95*$O$3</f>
        <v>24190</v>
      </c>
      <c r="P95" s="248"/>
      <c r="Q95" s="253">
        <f t="shared" ref="Q95:Q127" si="91">O95+P95</f>
        <v>24190</v>
      </c>
      <c r="R95" s="254">
        <f>VLOOKUP($A95,[5]MFP!$A$7:$E$139,4,FALSE)</f>
        <v>66.489883616703992</v>
      </c>
      <c r="S95" s="255">
        <f t="shared" ref="S95:S127" si="92">ROUND(R95*$S$3,0)</f>
        <v>66490</v>
      </c>
      <c r="T95" s="255">
        <f t="shared" ref="T95:T127" si="93">ROUND(S95*$T$3,0)</f>
        <v>16755</v>
      </c>
      <c r="U95" s="255">
        <f t="shared" ref="U95:U127" si="94">S95+T95</f>
        <v>83245</v>
      </c>
      <c r="V95" s="254">
        <f>VLOOKUP($A95,[5]MFP!$A$7:$E$139,5,FALSE)</f>
        <v>35.102532327581002</v>
      </c>
      <c r="W95" s="255">
        <f t="shared" ref="W95:W127" si="95">ROUND(V95*$W$3,0)</f>
        <v>17551</v>
      </c>
      <c r="X95" s="255">
        <f t="shared" ref="X95:X127" si="96">ROUND(W95*$X$3,0)</f>
        <v>5037</v>
      </c>
      <c r="Y95" s="255">
        <f t="shared" ref="Y95:Y127" si="97">W95+X95</f>
        <v>22588</v>
      </c>
      <c r="Z95" s="254">
        <f t="shared" ref="Z95:AC127" si="98">R95+V95</f>
        <v>101.59241594428499</v>
      </c>
      <c r="AA95" s="255">
        <f t="shared" si="98"/>
        <v>84041</v>
      </c>
      <c r="AB95" s="255">
        <f t="shared" si="98"/>
        <v>21792</v>
      </c>
      <c r="AC95" s="256">
        <f t="shared" si="98"/>
        <v>105833</v>
      </c>
      <c r="AD95" s="254">
        <f>VLOOKUP($A95,[5]MFP!$A$7:$E$139,4,FALSE)</f>
        <v>66.489883616703992</v>
      </c>
      <c r="AE95" s="255">
        <f t="shared" ref="AE95:AE127" si="99">ROUND(AD95*$AE$3,0)</f>
        <v>53192</v>
      </c>
      <c r="AF95" s="255">
        <f t="shared" ref="AF95:AF127" si="100">ROUND(AE95*$AF$3,0)</f>
        <v>13404</v>
      </c>
      <c r="AG95" s="255">
        <f t="shared" ref="AG95:AG127" si="101">AE95+AF95</f>
        <v>66596</v>
      </c>
      <c r="AH95" s="254">
        <f>VLOOKUP($A95,[5]MFP!$A$7:$E$139,5,FALSE)</f>
        <v>35.102532327581002</v>
      </c>
      <c r="AI95" s="255">
        <f t="shared" ref="AI95:AI127" si="102">ROUND(AH95*$AI$3,0)</f>
        <v>14041</v>
      </c>
      <c r="AJ95" s="255">
        <f t="shared" ref="AJ95:AJ127" si="103">ROUND(AI95*$AJ$3,0)</f>
        <v>4030</v>
      </c>
      <c r="AK95" s="255">
        <f t="shared" ref="AK95:AK127" si="104">AI95+AJ95</f>
        <v>18071</v>
      </c>
      <c r="AL95" s="254">
        <f t="shared" ref="AL95:AO127" si="105">AD95+AH95</f>
        <v>101.59241594428499</v>
      </c>
      <c r="AM95" s="255">
        <f t="shared" si="105"/>
        <v>67233</v>
      </c>
      <c r="AN95" s="255">
        <f t="shared" si="105"/>
        <v>17434</v>
      </c>
      <c r="AO95" s="257">
        <f t="shared" si="105"/>
        <v>84667</v>
      </c>
      <c r="AP95" s="258">
        <f t="shared" ref="AP95:AP127" si="106">E95+J95+L95+M95+Q95+AC95+AO95</f>
        <v>250840</v>
      </c>
    </row>
    <row r="96" spans="1:42" ht="15" customHeight="1" x14ac:dyDescent="0.2">
      <c r="A96" s="275">
        <v>343001</v>
      </c>
      <c r="B96" s="260">
        <v>343001</v>
      </c>
      <c r="C96" s="261" t="s">
        <v>547</v>
      </c>
      <c r="D96" s="262">
        <f>VLOOKUP(A96,[2]Template!$A$3:$G$133,7,FALSE)</f>
        <v>0</v>
      </c>
      <c r="E96" s="263">
        <f t="shared" si="86"/>
        <v>0</v>
      </c>
      <c r="F96" s="262"/>
      <c r="G96" s="264">
        <f t="shared" si="87"/>
        <v>0</v>
      </c>
      <c r="H96" s="262"/>
      <c r="I96" s="264">
        <f t="shared" si="88"/>
        <v>0</v>
      </c>
      <c r="J96" s="265">
        <f t="shared" si="89"/>
        <v>0</v>
      </c>
      <c r="K96" s="266"/>
      <c r="L96" s="267">
        <f>VLOOKUP($A96,'[3]21-22_4_Level 4'!$A$7:$F$139,6,FALSE)</f>
        <v>59648</v>
      </c>
      <c r="M96" s="268"/>
      <c r="N96" s="262">
        <f>VLOOKUP($A96,'[4]Feb MFP_SCA'!$B$4:$K$124,10,FALSE)</f>
        <v>592</v>
      </c>
      <c r="O96" s="269">
        <f t="shared" si="90"/>
        <v>34928</v>
      </c>
      <c r="P96" s="264"/>
      <c r="Q96" s="269">
        <f t="shared" si="91"/>
        <v>34928</v>
      </c>
      <c r="R96" s="270">
        <f>VLOOKUP($A96,[5]MFP!$A$7:$E$139,4,FALSE)</f>
        <v>40.826086955999997</v>
      </c>
      <c r="S96" s="271">
        <f t="shared" si="92"/>
        <v>40826</v>
      </c>
      <c r="T96" s="271">
        <f t="shared" si="93"/>
        <v>10288</v>
      </c>
      <c r="U96" s="271">
        <f t="shared" si="94"/>
        <v>51114</v>
      </c>
      <c r="V96" s="270">
        <f>VLOOKUP($A96,[5]MFP!$A$7:$E$139,5,FALSE)</f>
        <v>9.826086956000001</v>
      </c>
      <c r="W96" s="271">
        <f t="shared" si="95"/>
        <v>4913</v>
      </c>
      <c r="X96" s="271">
        <f t="shared" si="96"/>
        <v>1410</v>
      </c>
      <c r="Y96" s="271">
        <f t="shared" si="97"/>
        <v>6323</v>
      </c>
      <c r="Z96" s="270">
        <f t="shared" si="98"/>
        <v>50.652173911999995</v>
      </c>
      <c r="AA96" s="271">
        <f t="shared" si="98"/>
        <v>45739</v>
      </c>
      <c r="AB96" s="271">
        <f t="shared" si="98"/>
        <v>11698</v>
      </c>
      <c r="AC96" s="272">
        <f t="shared" si="98"/>
        <v>57437</v>
      </c>
      <c r="AD96" s="270">
        <f>VLOOKUP($A96,[5]MFP!$A$7:$E$139,4,FALSE)</f>
        <v>40.826086955999997</v>
      </c>
      <c r="AE96" s="271">
        <f t="shared" si="99"/>
        <v>32661</v>
      </c>
      <c r="AF96" s="271">
        <f t="shared" si="100"/>
        <v>8231</v>
      </c>
      <c r="AG96" s="271">
        <f t="shared" si="101"/>
        <v>40892</v>
      </c>
      <c r="AH96" s="270">
        <f>VLOOKUP($A96,[5]MFP!$A$7:$E$139,5,FALSE)</f>
        <v>9.826086956000001</v>
      </c>
      <c r="AI96" s="271">
        <f t="shared" si="102"/>
        <v>3930</v>
      </c>
      <c r="AJ96" s="271">
        <f t="shared" si="103"/>
        <v>1128</v>
      </c>
      <c r="AK96" s="271">
        <f t="shared" si="104"/>
        <v>5058</v>
      </c>
      <c r="AL96" s="270">
        <f t="shared" si="105"/>
        <v>50.652173911999995</v>
      </c>
      <c r="AM96" s="271">
        <f t="shared" si="105"/>
        <v>36591</v>
      </c>
      <c r="AN96" s="271">
        <f t="shared" si="105"/>
        <v>9359</v>
      </c>
      <c r="AO96" s="273">
        <f t="shared" si="105"/>
        <v>45950</v>
      </c>
      <c r="AP96" s="274">
        <f t="shared" si="106"/>
        <v>197963</v>
      </c>
    </row>
    <row r="97" spans="1:42" ht="15" customHeight="1" x14ac:dyDescent="0.2">
      <c r="A97" s="275">
        <v>344001</v>
      </c>
      <c r="B97" s="260">
        <v>344001</v>
      </c>
      <c r="C97" s="261" t="s">
        <v>548</v>
      </c>
      <c r="D97" s="262">
        <f>VLOOKUP(A97,[2]Template!$A$3:$G$133,7,FALSE)</f>
        <v>0</v>
      </c>
      <c r="E97" s="263">
        <f t="shared" si="86"/>
        <v>0</v>
      </c>
      <c r="F97" s="262"/>
      <c r="G97" s="264">
        <f t="shared" si="87"/>
        <v>0</v>
      </c>
      <c r="H97" s="262"/>
      <c r="I97" s="264">
        <f t="shared" si="88"/>
        <v>0</v>
      </c>
      <c r="J97" s="265">
        <f t="shared" si="89"/>
        <v>0</v>
      </c>
      <c r="K97" s="266"/>
      <c r="L97" s="267">
        <f>VLOOKUP($A97,'[3]21-22_4_Level 4'!$A$7:$F$139,6,FALSE)</f>
        <v>10000</v>
      </c>
      <c r="M97" s="268"/>
      <c r="N97" s="262">
        <f>VLOOKUP($A97,'[4]Feb MFP_SCA'!$B$4:$K$124,10,FALSE)</f>
        <v>379</v>
      </c>
      <c r="O97" s="269">
        <f t="shared" si="90"/>
        <v>22361</v>
      </c>
      <c r="P97" s="264"/>
      <c r="Q97" s="269">
        <f t="shared" si="91"/>
        <v>22361</v>
      </c>
      <c r="R97" s="270">
        <f>VLOOKUP($A97,[5]MFP!$A$7:$E$139,4,FALSE)</f>
        <v>46.843902438000001</v>
      </c>
      <c r="S97" s="271">
        <f t="shared" si="92"/>
        <v>46844</v>
      </c>
      <c r="T97" s="271">
        <f t="shared" si="93"/>
        <v>11805</v>
      </c>
      <c r="U97" s="271">
        <f t="shared" si="94"/>
        <v>58649</v>
      </c>
      <c r="V97" s="270">
        <f>VLOOKUP($A97,[5]MFP!$A$7:$E$139,5,FALSE)</f>
        <v>14</v>
      </c>
      <c r="W97" s="271">
        <f t="shared" si="95"/>
        <v>7000</v>
      </c>
      <c r="X97" s="271">
        <f t="shared" si="96"/>
        <v>2009</v>
      </c>
      <c r="Y97" s="271">
        <f t="shared" si="97"/>
        <v>9009</v>
      </c>
      <c r="Z97" s="270">
        <f t="shared" si="98"/>
        <v>60.843902438000001</v>
      </c>
      <c r="AA97" s="271">
        <f t="shared" si="98"/>
        <v>53844</v>
      </c>
      <c r="AB97" s="271">
        <f t="shared" si="98"/>
        <v>13814</v>
      </c>
      <c r="AC97" s="272">
        <f t="shared" si="98"/>
        <v>67658</v>
      </c>
      <c r="AD97" s="270">
        <f>VLOOKUP($A97,[5]MFP!$A$7:$E$139,4,FALSE)</f>
        <v>46.843902438000001</v>
      </c>
      <c r="AE97" s="271">
        <f t="shared" si="99"/>
        <v>37475</v>
      </c>
      <c r="AF97" s="271">
        <f t="shared" si="100"/>
        <v>9444</v>
      </c>
      <c r="AG97" s="271">
        <f t="shared" si="101"/>
        <v>46919</v>
      </c>
      <c r="AH97" s="270">
        <f>VLOOKUP($A97,[5]MFP!$A$7:$E$139,5,FALSE)</f>
        <v>14</v>
      </c>
      <c r="AI97" s="271">
        <f t="shared" si="102"/>
        <v>5600</v>
      </c>
      <c r="AJ97" s="271">
        <f t="shared" si="103"/>
        <v>1607</v>
      </c>
      <c r="AK97" s="271">
        <f t="shared" si="104"/>
        <v>7207</v>
      </c>
      <c r="AL97" s="270">
        <f t="shared" si="105"/>
        <v>60.843902438000001</v>
      </c>
      <c r="AM97" s="271">
        <f t="shared" si="105"/>
        <v>43075</v>
      </c>
      <c r="AN97" s="271">
        <f t="shared" si="105"/>
        <v>11051</v>
      </c>
      <c r="AO97" s="273">
        <f t="shared" si="105"/>
        <v>54126</v>
      </c>
      <c r="AP97" s="274">
        <f t="shared" si="106"/>
        <v>154145</v>
      </c>
    </row>
    <row r="98" spans="1:42" ht="15" customHeight="1" x14ac:dyDescent="0.2">
      <c r="A98" s="275">
        <v>345001</v>
      </c>
      <c r="B98" s="260">
        <v>345001</v>
      </c>
      <c r="C98" s="261" t="s">
        <v>549</v>
      </c>
      <c r="D98" s="262">
        <f>VLOOKUP(A98,[2]Template!$A$3:$G$133,7,FALSE)</f>
        <v>0</v>
      </c>
      <c r="E98" s="263">
        <f t="shared" si="86"/>
        <v>0</v>
      </c>
      <c r="F98" s="262"/>
      <c r="G98" s="264">
        <f t="shared" si="87"/>
        <v>0</v>
      </c>
      <c r="H98" s="262"/>
      <c r="I98" s="264">
        <f t="shared" si="88"/>
        <v>0</v>
      </c>
      <c r="J98" s="265">
        <f t="shared" si="89"/>
        <v>0</v>
      </c>
      <c r="K98" s="266"/>
      <c r="L98" s="267">
        <f>VLOOKUP($A98,'[3]21-22_4_Level 4'!$A$7:$F$139,6,FALSE)</f>
        <v>55129</v>
      </c>
      <c r="M98" s="268"/>
      <c r="N98" s="262">
        <f>VLOOKUP($A98,'[4]Feb MFP_SCA'!$B$4:$K$124,10,FALSE)</f>
        <v>2211</v>
      </c>
      <c r="O98" s="269">
        <f t="shared" si="90"/>
        <v>130449</v>
      </c>
      <c r="P98" s="264"/>
      <c r="Q98" s="269">
        <f t="shared" si="91"/>
        <v>130449</v>
      </c>
      <c r="R98" s="270">
        <f>VLOOKUP($A98,[5]MFP!$A$7:$E$139,4,FALSE)</f>
        <v>211</v>
      </c>
      <c r="S98" s="271">
        <f t="shared" si="92"/>
        <v>211000</v>
      </c>
      <c r="T98" s="271">
        <f t="shared" si="93"/>
        <v>53172</v>
      </c>
      <c r="U98" s="271">
        <f t="shared" si="94"/>
        <v>264172</v>
      </c>
      <c r="V98" s="270">
        <f>VLOOKUP($A98,[5]MFP!$A$7:$E$139,5,FALSE)</f>
        <v>66</v>
      </c>
      <c r="W98" s="271">
        <f t="shared" si="95"/>
        <v>33000</v>
      </c>
      <c r="X98" s="271">
        <f t="shared" si="96"/>
        <v>9471</v>
      </c>
      <c r="Y98" s="271">
        <f t="shared" si="97"/>
        <v>42471</v>
      </c>
      <c r="Z98" s="270">
        <f t="shared" si="98"/>
        <v>277</v>
      </c>
      <c r="AA98" s="271">
        <f t="shared" si="98"/>
        <v>244000</v>
      </c>
      <c r="AB98" s="271">
        <f t="shared" si="98"/>
        <v>62643</v>
      </c>
      <c r="AC98" s="272">
        <f t="shared" si="98"/>
        <v>306643</v>
      </c>
      <c r="AD98" s="270">
        <f>VLOOKUP($A98,[5]MFP!$A$7:$E$139,4,FALSE)</f>
        <v>211</v>
      </c>
      <c r="AE98" s="271">
        <f t="shared" si="99"/>
        <v>168800</v>
      </c>
      <c r="AF98" s="271">
        <f t="shared" si="100"/>
        <v>42538</v>
      </c>
      <c r="AG98" s="271">
        <f t="shared" si="101"/>
        <v>211338</v>
      </c>
      <c r="AH98" s="270">
        <f>VLOOKUP($A98,[5]MFP!$A$7:$E$139,5,FALSE)</f>
        <v>66</v>
      </c>
      <c r="AI98" s="271">
        <f t="shared" si="102"/>
        <v>26400</v>
      </c>
      <c r="AJ98" s="271">
        <f t="shared" si="103"/>
        <v>7577</v>
      </c>
      <c r="AK98" s="271">
        <f t="shared" si="104"/>
        <v>33977</v>
      </c>
      <c r="AL98" s="270">
        <f t="shared" si="105"/>
        <v>277</v>
      </c>
      <c r="AM98" s="271">
        <f t="shared" si="105"/>
        <v>195200</v>
      </c>
      <c r="AN98" s="271">
        <f t="shared" si="105"/>
        <v>50115</v>
      </c>
      <c r="AO98" s="273">
        <f t="shared" si="105"/>
        <v>245315</v>
      </c>
      <c r="AP98" s="274">
        <f t="shared" si="106"/>
        <v>737536</v>
      </c>
    </row>
    <row r="99" spans="1:42" ht="15" customHeight="1" x14ac:dyDescent="0.2">
      <c r="A99" s="276">
        <v>346001</v>
      </c>
      <c r="B99" s="277">
        <v>346001</v>
      </c>
      <c r="C99" s="278" t="s">
        <v>550</v>
      </c>
      <c r="D99" s="279">
        <f>VLOOKUP(A99,[2]Template!$A$3:$G$133,7,FALSE)</f>
        <v>0</v>
      </c>
      <c r="E99" s="280">
        <f t="shared" si="86"/>
        <v>0</v>
      </c>
      <c r="F99" s="279"/>
      <c r="G99" s="281">
        <f t="shared" si="87"/>
        <v>0</v>
      </c>
      <c r="H99" s="279"/>
      <c r="I99" s="281">
        <f t="shared" si="88"/>
        <v>0</v>
      </c>
      <c r="J99" s="282">
        <f t="shared" si="89"/>
        <v>0</v>
      </c>
      <c r="K99" s="283"/>
      <c r="L99" s="284">
        <f>VLOOKUP($A99,'[3]21-22_4_Level 4'!$A$7:$F$139,6,FALSE)</f>
        <v>0</v>
      </c>
      <c r="M99" s="285"/>
      <c r="N99" s="279">
        <f>VLOOKUP($A99,'[4]Feb MFP_SCA'!$B$4:$K$124,10,FALSE)</f>
        <v>219</v>
      </c>
      <c r="O99" s="286">
        <f t="shared" si="90"/>
        <v>12921</v>
      </c>
      <c r="P99" s="281"/>
      <c r="Q99" s="286">
        <f t="shared" si="91"/>
        <v>12921</v>
      </c>
      <c r="R99" s="287">
        <f>VLOOKUP($A99,[5]MFP!$A$7:$E$139,4,FALSE)</f>
        <v>63.546815008000003</v>
      </c>
      <c r="S99" s="288">
        <f t="shared" si="92"/>
        <v>63547</v>
      </c>
      <c r="T99" s="288">
        <f t="shared" si="93"/>
        <v>16014</v>
      </c>
      <c r="U99" s="288">
        <f t="shared" si="94"/>
        <v>79561</v>
      </c>
      <c r="V99" s="287">
        <f>VLOOKUP($A99,[5]MFP!$A$7:$E$139,5,FALSE)</f>
        <v>27.994764397000001</v>
      </c>
      <c r="W99" s="288">
        <f t="shared" si="95"/>
        <v>13997</v>
      </c>
      <c r="X99" s="288">
        <f t="shared" si="96"/>
        <v>4017</v>
      </c>
      <c r="Y99" s="288">
        <f t="shared" si="97"/>
        <v>18014</v>
      </c>
      <c r="Z99" s="287">
        <f t="shared" si="98"/>
        <v>91.541579405000007</v>
      </c>
      <c r="AA99" s="288">
        <f t="shared" si="98"/>
        <v>77544</v>
      </c>
      <c r="AB99" s="288">
        <f t="shared" si="98"/>
        <v>20031</v>
      </c>
      <c r="AC99" s="289">
        <f t="shared" si="98"/>
        <v>97575</v>
      </c>
      <c r="AD99" s="287">
        <f>VLOOKUP($A99,[5]MFP!$A$7:$E$139,4,FALSE)</f>
        <v>63.546815008000003</v>
      </c>
      <c r="AE99" s="288">
        <f t="shared" si="99"/>
        <v>50837</v>
      </c>
      <c r="AF99" s="288">
        <f t="shared" si="100"/>
        <v>12811</v>
      </c>
      <c r="AG99" s="288">
        <f t="shared" si="101"/>
        <v>63648</v>
      </c>
      <c r="AH99" s="287">
        <f>VLOOKUP($A99,[5]MFP!$A$7:$E$139,5,FALSE)</f>
        <v>27.994764397000001</v>
      </c>
      <c r="AI99" s="288">
        <f t="shared" si="102"/>
        <v>11198</v>
      </c>
      <c r="AJ99" s="288">
        <f t="shared" si="103"/>
        <v>3214</v>
      </c>
      <c r="AK99" s="288">
        <f t="shared" si="104"/>
        <v>14412</v>
      </c>
      <c r="AL99" s="287">
        <f t="shared" si="105"/>
        <v>91.541579405000007</v>
      </c>
      <c r="AM99" s="288">
        <f t="shared" si="105"/>
        <v>62035</v>
      </c>
      <c r="AN99" s="288">
        <f t="shared" si="105"/>
        <v>16025</v>
      </c>
      <c r="AO99" s="290">
        <f t="shared" si="105"/>
        <v>78060</v>
      </c>
      <c r="AP99" s="291">
        <f t="shared" si="106"/>
        <v>188556</v>
      </c>
    </row>
    <row r="100" spans="1:42" ht="15" customHeight="1" x14ac:dyDescent="0.2">
      <c r="A100" s="243">
        <v>347001</v>
      </c>
      <c r="B100" s="244">
        <v>347001</v>
      </c>
      <c r="C100" s="245" t="s">
        <v>551</v>
      </c>
      <c r="D100" s="246">
        <f>VLOOKUP(A100,[2]Template!$A$3:$G$133,7,FALSE)</f>
        <v>42</v>
      </c>
      <c r="E100" s="247">
        <f t="shared" si="86"/>
        <v>882000</v>
      </c>
      <c r="F100" s="246"/>
      <c r="G100" s="248">
        <f t="shared" si="87"/>
        <v>0</v>
      </c>
      <c r="H100" s="246"/>
      <c r="I100" s="248">
        <f t="shared" si="88"/>
        <v>0</v>
      </c>
      <c r="J100" s="249">
        <f t="shared" si="89"/>
        <v>0</v>
      </c>
      <c r="K100" s="250"/>
      <c r="L100" s="251">
        <f>VLOOKUP($A100,'[3]21-22_4_Level 4'!$A$7:$F$139,6,FALSE)</f>
        <v>10000</v>
      </c>
      <c r="M100" s="252"/>
      <c r="N100" s="246">
        <f>VLOOKUP($A100,'[4]Feb MFP_SCA'!$B$4:$K$124,10,FALSE)</f>
        <v>217</v>
      </c>
      <c r="O100" s="253">
        <f t="shared" si="90"/>
        <v>12803</v>
      </c>
      <c r="P100" s="248"/>
      <c r="Q100" s="253">
        <f t="shared" si="91"/>
        <v>12803</v>
      </c>
      <c r="R100" s="254">
        <f>VLOOKUP($A100,[5]MFP!$A$7:$E$139,4,FALSE)</f>
        <v>108</v>
      </c>
      <c r="S100" s="255">
        <f t="shared" si="92"/>
        <v>108000</v>
      </c>
      <c r="T100" s="255">
        <f t="shared" si="93"/>
        <v>27216</v>
      </c>
      <c r="U100" s="255">
        <f t="shared" si="94"/>
        <v>135216</v>
      </c>
      <c r="V100" s="254">
        <f>VLOOKUP($A100,[5]MFP!$A$7:$E$139,5,FALSE)</f>
        <v>37</v>
      </c>
      <c r="W100" s="255">
        <f t="shared" si="95"/>
        <v>18500</v>
      </c>
      <c r="X100" s="255">
        <f t="shared" si="96"/>
        <v>5310</v>
      </c>
      <c r="Y100" s="255">
        <f t="shared" si="97"/>
        <v>23810</v>
      </c>
      <c r="Z100" s="254">
        <f t="shared" si="98"/>
        <v>145</v>
      </c>
      <c r="AA100" s="255">
        <f t="shared" si="98"/>
        <v>126500</v>
      </c>
      <c r="AB100" s="255">
        <f t="shared" si="98"/>
        <v>32526</v>
      </c>
      <c r="AC100" s="256">
        <f t="shared" si="98"/>
        <v>159026</v>
      </c>
      <c r="AD100" s="254">
        <f>VLOOKUP($A100,[5]MFP!$A$7:$E$139,4,FALSE)</f>
        <v>108</v>
      </c>
      <c r="AE100" s="255">
        <f t="shared" si="99"/>
        <v>86400</v>
      </c>
      <c r="AF100" s="255">
        <f t="shared" si="100"/>
        <v>21773</v>
      </c>
      <c r="AG100" s="255">
        <f t="shared" si="101"/>
        <v>108173</v>
      </c>
      <c r="AH100" s="254">
        <f>VLOOKUP($A100,[5]MFP!$A$7:$E$139,5,FALSE)</f>
        <v>37</v>
      </c>
      <c r="AI100" s="255">
        <f t="shared" si="102"/>
        <v>14800</v>
      </c>
      <c r="AJ100" s="255">
        <f t="shared" si="103"/>
        <v>4248</v>
      </c>
      <c r="AK100" s="255">
        <f t="shared" si="104"/>
        <v>19048</v>
      </c>
      <c r="AL100" s="254">
        <f t="shared" si="105"/>
        <v>145</v>
      </c>
      <c r="AM100" s="255">
        <f t="shared" si="105"/>
        <v>101200</v>
      </c>
      <c r="AN100" s="255">
        <f t="shared" si="105"/>
        <v>26021</v>
      </c>
      <c r="AO100" s="257">
        <f t="shared" si="105"/>
        <v>127221</v>
      </c>
      <c r="AP100" s="258">
        <f t="shared" si="106"/>
        <v>1191050</v>
      </c>
    </row>
    <row r="101" spans="1:42" ht="15" customHeight="1" x14ac:dyDescent="0.2">
      <c r="A101" s="275">
        <v>348001</v>
      </c>
      <c r="B101" s="260">
        <v>348001</v>
      </c>
      <c r="C101" s="261" t="s">
        <v>552</v>
      </c>
      <c r="D101" s="262">
        <f>VLOOKUP(A101,[2]Template!$A$3:$G$133,7,FALSE)</f>
        <v>0</v>
      </c>
      <c r="E101" s="263">
        <f t="shared" si="86"/>
        <v>0</v>
      </c>
      <c r="F101" s="262"/>
      <c r="G101" s="264">
        <f t="shared" si="87"/>
        <v>0</v>
      </c>
      <c r="H101" s="262"/>
      <c r="I101" s="264">
        <f t="shared" si="88"/>
        <v>0</v>
      </c>
      <c r="J101" s="265">
        <f t="shared" si="89"/>
        <v>0</v>
      </c>
      <c r="K101" s="266"/>
      <c r="L101" s="267">
        <f>VLOOKUP($A101,'[3]21-22_4_Level 4'!$A$7:$F$139,6,FALSE)</f>
        <v>28920</v>
      </c>
      <c r="M101" s="268"/>
      <c r="N101" s="262">
        <f>VLOOKUP($A101,'[4]Feb MFP_SCA'!$B$4:$K$124,10,FALSE)</f>
        <v>998</v>
      </c>
      <c r="O101" s="269">
        <f t="shared" si="90"/>
        <v>58882</v>
      </c>
      <c r="P101" s="264"/>
      <c r="Q101" s="269">
        <f t="shared" si="91"/>
        <v>58882</v>
      </c>
      <c r="R101" s="270">
        <f>VLOOKUP($A101,[5]MFP!$A$7:$E$139,4,FALSE)</f>
        <v>91.876595741999992</v>
      </c>
      <c r="S101" s="271">
        <f t="shared" si="92"/>
        <v>91877</v>
      </c>
      <c r="T101" s="271">
        <f t="shared" si="93"/>
        <v>23153</v>
      </c>
      <c r="U101" s="271">
        <f t="shared" si="94"/>
        <v>115030</v>
      </c>
      <c r="V101" s="270">
        <f>VLOOKUP($A101,[5]MFP!$A$7:$E$139,5,FALSE)</f>
        <v>27.822587609999999</v>
      </c>
      <c r="W101" s="271">
        <f t="shared" si="95"/>
        <v>13911</v>
      </c>
      <c r="X101" s="271">
        <f t="shared" si="96"/>
        <v>3992</v>
      </c>
      <c r="Y101" s="271">
        <f t="shared" si="97"/>
        <v>17903</v>
      </c>
      <c r="Z101" s="270">
        <f t="shared" si="98"/>
        <v>119.69918335199999</v>
      </c>
      <c r="AA101" s="271">
        <f t="shared" si="98"/>
        <v>105788</v>
      </c>
      <c r="AB101" s="271">
        <f t="shared" si="98"/>
        <v>27145</v>
      </c>
      <c r="AC101" s="272">
        <f t="shared" si="98"/>
        <v>132933</v>
      </c>
      <c r="AD101" s="270">
        <f>VLOOKUP($A101,[5]MFP!$A$7:$E$139,4,FALSE)</f>
        <v>91.876595741999992</v>
      </c>
      <c r="AE101" s="271">
        <f t="shared" si="99"/>
        <v>73501</v>
      </c>
      <c r="AF101" s="271">
        <f t="shared" si="100"/>
        <v>18522</v>
      </c>
      <c r="AG101" s="271">
        <f t="shared" si="101"/>
        <v>92023</v>
      </c>
      <c r="AH101" s="270">
        <f>VLOOKUP($A101,[5]MFP!$A$7:$E$139,5,FALSE)</f>
        <v>27.822587609999999</v>
      </c>
      <c r="AI101" s="271">
        <f t="shared" si="102"/>
        <v>11129</v>
      </c>
      <c r="AJ101" s="271">
        <f t="shared" si="103"/>
        <v>3194</v>
      </c>
      <c r="AK101" s="271">
        <f t="shared" si="104"/>
        <v>14323</v>
      </c>
      <c r="AL101" s="270">
        <f t="shared" si="105"/>
        <v>119.69918335199999</v>
      </c>
      <c r="AM101" s="271">
        <f t="shared" si="105"/>
        <v>84630</v>
      </c>
      <c r="AN101" s="271">
        <f t="shared" si="105"/>
        <v>21716</v>
      </c>
      <c r="AO101" s="273">
        <f t="shared" si="105"/>
        <v>106346</v>
      </c>
      <c r="AP101" s="274">
        <f t="shared" si="106"/>
        <v>327081</v>
      </c>
    </row>
    <row r="102" spans="1:42" ht="15" customHeight="1" x14ac:dyDescent="0.2">
      <c r="A102" s="275" t="s">
        <v>553</v>
      </c>
      <c r="B102" s="260" t="s">
        <v>553</v>
      </c>
      <c r="C102" s="261" t="s">
        <v>554</v>
      </c>
      <c r="D102" s="262"/>
      <c r="E102" s="263">
        <f t="shared" si="86"/>
        <v>0</v>
      </c>
      <c r="F102" s="262"/>
      <c r="G102" s="264">
        <f t="shared" si="87"/>
        <v>0</v>
      </c>
      <c r="H102" s="262"/>
      <c r="I102" s="264">
        <f t="shared" si="88"/>
        <v>0</v>
      </c>
      <c r="J102" s="265">
        <f t="shared" si="89"/>
        <v>0</v>
      </c>
      <c r="K102" s="266"/>
      <c r="L102" s="267">
        <f>VLOOKUP($A102,'[3]21-22_4_Level 4'!$A$7:$F$139,6,FALSE)</f>
        <v>10000</v>
      </c>
      <c r="M102" s="268"/>
      <c r="N102" s="262"/>
      <c r="O102" s="269">
        <f t="shared" si="90"/>
        <v>0</v>
      </c>
      <c r="P102" s="264"/>
      <c r="Q102" s="269">
        <f t="shared" si="91"/>
        <v>0</v>
      </c>
      <c r="R102" s="270"/>
      <c r="S102" s="271">
        <f t="shared" si="92"/>
        <v>0</v>
      </c>
      <c r="T102" s="271">
        <f t="shared" si="93"/>
        <v>0</v>
      </c>
      <c r="U102" s="271">
        <f t="shared" si="94"/>
        <v>0</v>
      </c>
      <c r="V102" s="270"/>
      <c r="W102" s="271">
        <f t="shared" si="95"/>
        <v>0</v>
      </c>
      <c r="X102" s="271">
        <f t="shared" si="96"/>
        <v>0</v>
      </c>
      <c r="Y102" s="271">
        <f t="shared" si="97"/>
        <v>0</v>
      </c>
      <c r="Z102" s="270">
        <f t="shared" si="98"/>
        <v>0</v>
      </c>
      <c r="AA102" s="271">
        <f t="shared" si="98"/>
        <v>0</v>
      </c>
      <c r="AB102" s="271">
        <f t="shared" si="98"/>
        <v>0</v>
      </c>
      <c r="AC102" s="272">
        <f t="shared" si="98"/>
        <v>0</v>
      </c>
      <c r="AD102" s="270"/>
      <c r="AE102" s="271">
        <f t="shared" si="99"/>
        <v>0</v>
      </c>
      <c r="AF102" s="271">
        <f t="shared" si="100"/>
        <v>0</v>
      </c>
      <c r="AG102" s="271">
        <f t="shared" si="101"/>
        <v>0</v>
      </c>
      <c r="AH102" s="270"/>
      <c r="AI102" s="271">
        <f t="shared" si="102"/>
        <v>0</v>
      </c>
      <c r="AJ102" s="271">
        <f t="shared" si="103"/>
        <v>0</v>
      </c>
      <c r="AK102" s="271">
        <f t="shared" si="104"/>
        <v>0</v>
      </c>
      <c r="AL102" s="270">
        <f t="shared" si="105"/>
        <v>0</v>
      </c>
      <c r="AM102" s="271">
        <f t="shared" si="105"/>
        <v>0</v>
      </c>
      <c r="AN102" s="271">
        <f t="shared" si="105"/>
        <v>0</v>
      </c>
      <c r="AO102" s="273">
        <f t="shared" si="105"/>
        <v>0</v>
      </c>
      <c r="AP102" s="274">
        <f t="shared" si="106"/>
        <v>10000</v>
      </c>
    </row>
    <row r="103" spans="1:42" ht="15" customHeight="1" x14ac:dyDescent="0.2">
      <c r="A103" s="275" t="s">
        <v>555</v>
      </c>
      <c r="B103" s="260" t="s">
        <v>555</v>
      </c>
      <c r="C103" s="261" t="s">
        <v>556</v>
      </c>
      <c r="D103" s="262"/>
      <c r="E103" s="263">
        <f t="shared" si="86"/>
        <v>0</v>
      </c>
      <c r="F103" s="262"/>
      <c r="G103" s="264">
        <f t="shared" si="87"/>
        <v>0</v>
      </c>
      <c r="H103" s="262"/>
      <c r="I103" s="264">
        <f t="shared" si="88"/>
        <v>0</v>
      </c>
      <c r="J103" s="265">
        <f t="shared" si="89"/>
        <v>0</v>
      </c>
      <c r="K103" s="266"/>
      <c r="L103" s="267">
        <f>VLOOKUP($A103,'[3]21-22_4_Level 4'!$A$7:$F$139,6,FALSE)</f>
        <v>0</v>
      </c>
      <c r="M103" s="268"/>
      <c r="N103" s="262"/>
      <c r="O103" s="269">
        <f t="shared" si="90"/>
        <v>0</v>
      </c>
      <c r="P103" s="264"/>
      <c r="Q103" s="269">
        <f t="shared" si="91"/>
        <v>0</v>
      </c>
      <c r="R103" s="270"/>
      <c r="S103" s="271">
        <f t="shared" si="92"/>
        <v>0</v>
      </c>
      <c r="T103" s="271">
        <f t="shared" si="93"/>
        <v>0</v>
      </c>
      <c r="U103" s="271">
        <f t="shared" si="94"/>
        <v>0</v>
      </c>
      <c r="V103" s="270"/>
      <c r="W103" s="271">
        <f t="shared" si="95"/>
        <v>0</v>
      </c>
      <c r="X103" s="271">
        <f t="shared" si="96"/>
        <v>0</v>
      </c>
      <c r="Y103" s="271">
        <f t="shared" si="97"/>
        <v>0</v>
      </c>
      <c r="Z103" s="270">
        <f t="shared" si="98"/>
        <v>0</v>
      </c>
      <c r="AA103" s="271">
        <f t="shared" si="98"/>
        <v>0</v>
      </c>
      <c r="AB103" s="271">
        <f t="shared" si="98"/>
        <v>0</v>
      </c>
      <c r="AC103" s="272">
        <f t="shared" si="98"/>
        <v>0</v>
      </c>
      <c r="AD103" s="270"/>
      <c r="AE103" s="271">
        <f t="shared" si="99"/>
        <v>0</v>
      </c>
      <c r="AF103" s="271">
        <f t="shared" si="100"/>
        <v>0</v>
      </c>
      <c r="AG103" s="271">
        <f t="shared" si="101"/>
        <v>0</v>
      </c>
      <c r="AH103" s="270"/>
      <c r="AI103" s="271">
        <f t="shared" si="102"/>
        <v>0</v>
      </c>
      <c r="AJ103" s="271">
        <f t="shared" si="103"/>
        <v>0</v>
      </c>
      <c r="AK103" s="271">
        <f t="shared" si="104"/>
        <v>0</v>
      </c>
      <c r="AL103" s="270">
        <f t="shared" si="105"/>
        <v>0</v>
      </c>
      <c r="AM103" s="271">
        <f t="shared" si="105"/>
        <v>0</v>
      </c>
      <c r="AN103" s="271">
        <f t="shared" si="105"/>
        <v>0</v>
      </c>
      <c r="AO103" s="273">
        <f t="shared" si="105"/>
        <v>0</v>
      </c>
      <c r="AP103" s="274">
        <f t="shared" si="106"/>
        <v>0</v>
      </c>
    </row>
    <row r="104" spans="1:42" ht="15" customHeight="1" x14ac:dyDescent="0.2">
      <c r="A104" s="276" t="s">
        <v>557</v>
      </c>
      <c r="B104" s="277" t="s">
        <v>557</v>
      </c>
      <c r="C104" s="278" t="s">
        <v>558</v>
      </c>
      <c r="D104" s="279">
        <f>VLOOKUP(A104,[2]Template!$A$3:$G$133,7,FALSE)</f>
        <v>0</v>
      </c>
      <c r="E104" s="280">
        <f t="shared" si="86"/>
        <v>0</v>
      </c>
      <c r="F104" s="279"/>
      <c r="G104" s="281">
        <f t="shared" si="87"/>
        <v>0</v>
      </c>
      <c r="H104" s="279"/>
      <c r="I104" s="281">
        <f t="shared" si="88"/>
        <v>0</v>
      </c>
      <c r="J104" s="282">
        <f t="shared" si="89"/>
        <v>0</v>
      </c>
      <c r="K104" s="283"/>
      <c r="L104" s="284">
        <f>VLOOKUP($A104,'[3]21-22_4_Level 4'!$A$7:$F$139,6,FALSE)</f>
        <v>0</v>
      </c>
      <c r="M104" s="285"/>
      <c r="N104" s="279">
        <f>VLOOKUP($A104,'[4]Feb MFP_SCA'!$B$4:$K$124,10,FALSE)</f>
        <v>0</v>
      </c>
      <c r="O104" s="286">
        <f t="shared" si="90"/>
        <v>0</v>
      </c>
      <c r="P104" s="281"/>
      <c r="Q104" s="286">
        <f t="shared" si="91"/>
        <v>0</v>
      </c>
      <c r="R104" s="287">
        <f>VLOOKUP($A104,[5]MFP!$A$7:$E$139,4,FALSE)</f>
        <v>9</v>
      </c>
      <c r="S104" s="288">
        <f t="shared" si="92"/>
        <v>9000</v>
      </c>
      <c r="T104" s="288">
        <f t="shared" si="93"/>
        <v>2268</v>
      </c>
      <c r="U104" s="288">
        <f t="shared" si="94"/>
        <v>11268</v>
      </c>
      <c r="V104" s="287">
        <f>VLOOKUP($A104,[5]MFP!$A$7:$E$139,5,FALSE)</f>
        <v>7</v>
      </c>
      <c r="W104" s="288">
        <f t="shared" si="95"/>
        <v>3500</v>
      </c>
      <c r="X104" s="288">
        <f t="shared" si="96"/>
        <v>1005</v>
      </c>
      <c r="Y104" s="288">
        <f t="shared" si="97"/>
        <v>4505</v>
      </c>
      <c r="Z104" s="287">
        <f t="shared" si="98"/>
        <v>16</v>
      </c>
      <c r="AA104" s="288">
        <f t="shared" si="98"/>
        <v>12500</v>
      </c>
      <c r="AB104" s="288">
        <f t="shared" si="98"/>
        <v>3273</v>
      </c>
      <c r="AC104" s="289">
        <f t="shared" si="98"/>
        <v>15773</v>
      </c>
      <c r="AD104" s="287">
        <f>VLOOKUP($A104,[5]MFP!$A$7:$E$139,4,FALSE)</f>
        <v>9</v>
      </c>
      <c r="AE104" s="288">
        <f t="shared" si="99"/>
        <v>7200</v>
      </c>
      <c r="AF104" s="288">
        <f t="shared" si="100"/>
        <v>1814</v>
      </c>
      <c r="AG104" s="288">
        <f t="shared" si="101"/>
        <v>9014</v>
      </c>
      <c r="AH104" s="287">
        <f>VLOOKUP($A104,[5]MFP!$A$7:$E$139,5,FALSE)</f>
        <v>7</v>
      </c>
      <c r="AI104" s="288">
        <f t="shared" si="102"/>
        <v>2800</v>
      </c>
      <c r="AJ104" s="288">
        <f t="shared" si="103"/>
        <v>804</v>
      </c>
      <c r="AK104" s="288">
        <f t="shared" si="104"/>
        <v>3604</v>
      </c>
      <c r="AL104" s="287">
        <f t="shared" si="105"/>
        <v>16</v>
      </c>
      <c r="AM104" s="288">
        <f t="shared" si="105"/>
        <v>10000</v>
      </c>
      <c r="AN104" s="288">
        <f t="shared" si="105"/>
        <v>2618</v>
      </c>
      <c r="AO104" s="290">
        <f t="shared" si="105"/>
        <v>12618</v>
      </c>
      <c r="AP104" s="291">
        <f t="shared" si="106"/>
        <v>28391</v>
      </c>
    </row>
    <row r="105" spans="1:42" ht="15" customHeight="1" x14ac:dyDescent="0.2">
      <c r="A105" s="243" t="s">
        <v>559</v>
      </c>
      <c r="B105" s="244" t="s">
        <v>559</v>
      </c>
      <c r="C105" s="245" t="s">
        <v>560</v>
      </c>
      <c r="D105" s="246">
        <f>VLOOKUP(A105,[2]Template!$A$3:$G$133,7,FALSE)</f>
        <v>0</v>
      </c>
      <c r="E105" s="247">
        <f t="shared" si="86"/>
        <v>0</v>
      </c>
      <c r="F105" s="246"/>
      <c r="G105" s="248">
        <f t="shared" si="87"/>
        <v>0</v>
      </c>
      <c r="H105" s="246"/>
      <c r="I105" s="248">
        <f t="shared" si="88"/>
        <v>0</v>
      </c>
      <c r="J105" s="249">
        <f t="shared" si="89"/>
        <v>0</v>
      </c>
      <c r="K105" s="250"/>
      <c r="L105" s="251">
        <f>VLOOKUP($A105,'[3]21-22_4_Level 4'!$A$7:$F$139,6,FALSE)</f>
        <v>10000</v>
      </c>
      <c r="M105" s="252"/>
      <c r="N105" s="246">
        <f>VLOOKUP($A105,'[4]Feb MFP_SCA'!$B$4:$K$124,10,FALSE)</f>
        <v>183</v>
      </c>
      <c r="O105" s="253">
        <f t="shared" si="90"/>
        <v>10797</v>
      </c>
      <c r="P105" s="248"/>
      <c r="Q105" s="253">
        <f t="shared" si="91"/>
        <v>10797</v>
      </c>
      <c r="R105" s="254">
        <f>VLOOKUP($A105,[5]MFP!$A$7:$E$139,4,FALSE)</f>
        <v>15.666666666000001</v>
      </c>
      <c r="S105" s="255">
        <f t="shared" si="92"/>
        <v>15667</v>
      </c>
      <c r="T105" s="255">
        <f t="shared" si="93"/>
        <v>3948</v>
      </c>
      <c r="U105" s="255">
        <f t="shared" si="94"/>
        <v>19615</v>
      </c>
      <c r="V105" s="254">
        <f>VLOOKUP($A105,[5]MFP!$A$7:$E$139,5,FALSE)</f>
        <v>8.1</v>
      </c>
      <c r="W105" s="255">
        <f t="shared" si="95"/>
        <v>4050</v>
      </c>
      <c r="X105" s="255">
        <f t="shared" si="96"/>
        <v>1162</v>
      </c>
      <c r="Y105" s="255">
        <f t="shared" si="97"/>
        <v>5212</v>
      </c>
      <c r="Z105" s="254">
        <f t="shared" si="98"/>
        <v>23.766666665999999</v>
      </c>
      <c r="AA105" s="255">
        <f t="shared" si="98"/>
        <v>19717</v>
      </c>
      <c r="AB105" s="255">
        <f t="shared" si="98"/>
        <v>5110</v>
      </c>
      <c r="AC105" s="256">
        <f t="shared" si="98"/>
        <v>24827</v>
      </c>
      <c r="AD105" s="254">
        <f>VLOOKUP($A105,[5]MFP!$A$7:$E$139,4,FALSE)</f>
        <v>15.666666666000001</v>
      </c>
      <c r="AE105" s="255">
        <f t="shared" si="99"/>
        <v>12533</v>
      </c>
      <c r="AF105" s="255">
        <f t="shared" si="100"/>
        <v>3158</v>
      </c>
      <c r="AG105" s="255">
        <f t="shared" si="101"/>
        <v>15691</v>
      </c>
      <c r="AH105" s="254">
        <f>VLOOKUP($A105,[5]MFP!$A$7:$E$139,5,FALSE)</f>
        <v>8.1</v>
      </c>
      <c r="AI105" s="255">
        <f t="shared" si="102"/>
        <v>3240</v>
      </c>
      <c r="AJ105" s="255">
        <f t="shared" si="103"/>
        <v>930</v>
      </c>
      <c r="AK105" s="255">
        <f t="shared" si="104"/>
        <v>4170</v>
      </c>
      <c r="AL105" s="254">
        <f t="shared" si="105"/>
        <v>23.766666665999999</v>
      </c>
      <c r="AM105" s="255">
        <f t="shared" si="105"/>
        <v>15773</v>
      </c>
      <c r="AN105" s="255">
        <f t="shared" si="105"/>
        <v>4088</v>
      </c>
      <c r="AO105" s="257">
        <f t="shared" si="105"/>
        <v>19861</v>
      </c>
      <c r="AP105" s="258">
        <f t="shared" si="106"/>
        <v>65485</v>
      </c>
    </row>
    <row r="106" spans="1:42" ht="15" customHeight="1" x14ac:dyDescent="0.2">
      <c r="A106" s="275" t="s">
        <v>561</v>
      </c>
      <c r="B106" s="260" t="s">
        <v>561</v>
      </c>
      <c r="C106" s="261" t="s">
        <v>562</v>
      </c>
      <c r="D106" s="262">
        <f>VLOOKUP(A106,[2]Template!$A$3:$G$133,7,FALSE)</f>
        <v>0</v>
      </c>
      <c r="E106" s="263">
        <f t="shared" si="86"/>
        <v>0</v>
      </c>
      <c r="F106" s="262"/>
      <c r="G106" s="264">
        <f t="shared" si="87"/>
        <v>0</v>
      </c>
      <c r="H106" s="262"/>
      <c r="I106" s="264">
        <f t="shared" si="88"/>
        <v>0</v>
      </c>
      <c r="J106" s="265">
        <f t="shared" si="89"/>
        <v>0</v>
      </c>
      <c r="K106" s="266"/>
      <c r="L106" s="267">
        <f>VLOOKUP($A106,'[3]21-22_4_Level 4'!$A$7:$F$139,6,FALSE)</f>
        <v>0</v>
      </c>
      <c r="M106" s="268"/>
      <c r="N106" s="262">
        <f>VLOOKUP($A106,'[4]Feb MFP_SCA'!$B$4:$K$124,10,FALSE)</f>
        <v>154</v>
      </c>
      <c r="O106" s="269">
        <f t="shared" si="90"/>
        <v>9086</v>
      </c>
      <c r="P106" s="264"/>
      <c r="Q106" s="269">
        <f t="shared" si="91"/>
        <v>9086</v>
      </c>
      <c r="R106" s="270">
        <f>VLOOKUP($A106,[5]MFP!$A$7:$E$139,4,FALSE)</f>
        <v>39.590575398527008</v>
      </c>
      <c r="S106" s="271">
        <f t="shared" si="92"/>
        <v>39591</v>
      </c>
      <c r="T106" s="271">
        <f t="shared" si="93"/>
        <v>9977</v>
      </c>
      <c r="U106" s="271">
        <f t="shared" si="94"/>
        <v>49568</v>
      </c>
      <c r="V106" s="270">
        <f>VLOOKUP($A106,[5]MFP!$A$7:$E$139,5,FALSE)</f>
        <v>18.854606855450001</v>
      </c>
      <c r="W106" s="271">
        <f t="shared" si="95"/>
        <v>9427</v>
      </c>
      <c r="X106" s="271">
        <f t="shared" si="96"/>
        <v>2706</v>
      </c>
      <c r="Y106" s="271">
        <f t="shared" si="97"/>
        <v>12133</v>
      </c>
      <c r="Z106" s="270">
        <f t="shared" si="98"/>
        <v>58.445182253977009</v>
      </c>
      <c r="AA106" s="271">
        <f t="shared" si="98"/>
        <v>49018</v>
      </c>
      <c r="AB106" s="271">
        <f t="shared" si="98"/>
        <v>12683</v>
      </c>
      <c r="AC106" s="272">
        <f t="shared" si="98"/>
        <v>61701</v>
      </c>
      <c r="AD106" s="270">
        <f>VLOOKUP($A106,[5]MFP!$A$7:$E$139,4,FALSE)</f>
        <v>39.590575398527008</v>
      </c>
      <c r="AE106" s="271">
        <f t="shared" si="99"/>
        <v>31672</v>
      </c>
      <c r="AF106" s="271">
        <f t="shared" si="100"/>
        <v>7981</v>
      </c>
      <c r="AG106" s="271">
        <f t="shared" si="101"/>
        <v>39653</v>
      </c>
      <c r="AH106" s="270">
        <f>VLOOKUP($A106,[5]MFP!$A$7:$E$139,5,FALSE)</f>
        <v>18.854606855450001</v>
      </c>
      <c r="AI106" s="271">
        <f t="shared" si="102"/>
        <v>7542</v>
      </c>
      <c r="AJ106" s="271">
        <f t="shared" si="103"/>
        <v>2165</v>
      </c>
      <c r="AK106" s="271">
        <f t="shared" si="104"/>
        <v>9707</v>
      </c>
      <c r="AL106" s="270">
        <f t="shared" si="105"/>
        <v>58.445182253977009</v>
      </c>
      <c r="AM106" s="271">
        <f t="shared" si="105"/>
        <v>39214</v>
      </c>
      <c r="AN106" s="271">
        <f t="shared" si="105"/>
        <v>10146</v>
      </c>
      <c r="AO106" s="273">
        <f t="shared" si="105"/>
        <v>49360</v>
      </c>
      <c r="AP106" s="274">
        <f t="shared" si="106"/>
        <v>120147</v>
      </c>
    </row>
    <row r="107" spans="1:42" ht="15" customHeight="1" x14ac:dyDescent="0.2">
      <c r="A107" s="275" t="s">
        <v>563</v>
      </c>
      <c r="B107" s="260" t="s">
        <v>563</v>
      </c>
      <c r="C107" s="261" t="s">
        <v>564</v>
      </c>
      <c r="D107" s="262">
        <f>VLOOKUP(A107,[2]Template!$A$3:$G$133,7,FALSE)</f>
        <v>0</v>
      </c>
      <c r="E107" s="263">
        <f t="shared" si="86"/>
        <v>0</v>
      </c>
      <c r="F107" s="262"/>
      <c r="G107" s="264">
        <f t="shared" si="87"/>
        <v>0</v>
      </c>
      <c r="H107" s="262"/>
      <c r="I107" s="264">
        <f t="shared" si="88"/>
        <v>0</v>
      </c>
      <c r="J107" s="265">
        <f t="shared" si="89"/>
        <v>0</v>
      </c>
      <c r="K107" s="266"/>
      <c r="L107" s="267">
        <f>VLOOKUP($A107,'[3]21-22_4_Level 4'!$A$7:$F$139,6,FALSE)</f>
        <v>10000</v>
      </c>
      <c r="M107" s="268"/>
      <c r="N107" s="262">
        <f>VLOOKUP($A107,'[4]Feb MFP_SCA'!$B$4:$K$124,10,FALSE)</f>
        <v>67</v>
      </c>
      <c r="O107" s="269">
        <f t="shared" si="90"/>
        <v>3953</v>
      </c>
      <c r="P107" s="264"/>
      <c r="Q107" s="269">
        <f t="shared" si="91"/>
        <v>3953</v>
      </c>
      <c r="R107" s="270">
        <f>VLOOKUP($A107,[5]MFP!$A$7:$E$139,4,FALSE)</f>
        <v>7.9971870599999999</v>
      </c>
      <c r="S107" s="271">
        <f t="shared" si="92"/>
        <v>7997</v>
      </c>
      <c r="T107" s="271">
        <f t="shared" si="93"/>
        <v>2015</v>
      </c>
      <c r="U107" s="271">
        <f t="shared" si="94"/>
        <v>10012</v>
      </c>
      <c r="V107" s="270">
        <f>VLOOKUP($A107,[5]MFP!$A$7:$E$139,5,FALSE)</f>
        <v>5</v>
      </c>
      <c r="W107" s="271">
        <f t="shared" si="95"/>
        <v>2500</v>
      </c>
      <c r="X107" s="271">
        <f t="shared" si="96"/>
        <v>718</v>
      </c>
      <c r="Y107" s="271">
        <f t="shared" si="97"/>
        <v>3218</v>
      </c>
      <c r="Z107" s="270">
        <f t="shared" si="98"/>
        <v>12.99718706</v>
      </c>
      <c r="AA107" s="271">
        <f t="shared" si="98"/>
        <v>10497</v>
      </c>
      <c r="AB107" s="271">
        <f t="shared" si="98"/>
        <v>2733</v>
      </c>
      <c r="AC107" s="272">
        <f t="shared" si="98"/>
        <v>13230</v>
      </c>
      <c r="AD107" s="270">
        <f>VLOOKUP($A107,[5]MFP!$A$7:$E$139,4,FALSE)</f>
        <v>7.9971870599999999</v>
      </c>
      <c r="AE107" s="271">
        <f t="shared" si="99"/>
        <v>6398</v>
      </c>
      <c r="AF107" s="271">
        <f t="shared" si="100"/>
        <v>1612</v>
      </c>
      <c r="AG107" s="271">
        <f t="shared" si="101"/>
        <v>8010</v>
      </c>
      <c r="AH107" s="270">
        <f>VLOOKUP($A107,[5]MFP!$A$7:$E$139,5,FALSE)</f>
        <v>5</v>
      </c>
      <c r="AI107" s="271">
        <f t="shared" si="102"/>
        <v>2000</v>
      </c>
      <c r="AJ107" s="271">
        <f t="shared" si="103"/>
        <v>574</v>
      </c>
      <c r="AK107" s="271">
        <f t="shared" si="104"/>
        <v>2574</v>
      </c>
      <c r="AL107" s="270">
        <f t="shared" si="105"/>
        <v>12.99718706</v>
      </c>
      <c r="AM107" s="271">
        <f t="shared" si="105"/>
        <v>8398</v>
      </c>
      <c r="AN107" s="271">
        <f t="shared" si="105"/>
        <v>2186</v>
      </c>
      <c r="AO107" s="273">
        <f t="shared" si="105"/>
        <v>10584</v>
      </c>
      <c r="AP107" s="274">
        <f t="shared" si="106"/>
        <v>37767</v>
      </c>
    </row>
    <row r="108" spans="1:42" ht="15" customHeight="1" x14ac:dyDescent="0.2">
      <c r="A108" s="275" t="s">
        <v>565</v>
      </c>
      <c r="B108" s="260" t="s">
        <v>565</v>
      </c>
      <c r="C108" s="261" t="s">
        <v>566</v>
      </c>
      <c r="D108" s="262">
        <f>VLOOKUP(A108,[2]Template!$A$3:$G$133,7,FALSE)</f>
        <v>0</v>
      </c>
      <c r="E108" s="263">
        <f t="shared" si="86"/>
        <v>0</v>
      </c>
      <c r="F108" s="262"/>
      <c r="G108" s="264">
        <f t="shared" si="87"/>
        <v>0</v>
      </c>
      <c r="H108" s="262"/>
      <c r="I108" s="264">
        <f t="shared" si="88"/>
        <v>0</v>
      </c>
      <c r="J108" s="265">
        <f t="shared" si="89"/>
        <v>0</v>
      </c>
      <c r="K108" s="266"/>
      <c r="L108" s="267">
        <f>VLOOKUP($A108,'[3]21-22_4_Level 4'!$A$7:$F$139,6,FALSE)</f>
        <v>0</v>
      </c>
      <c r="M108" s="268"/>
      <c r="N108" s="262">
        <f>VLOOKUP($A108,'[4]Feb MFP_SCA'!$B$4:$K$124,10,FALSE)</f>
        <v>120</v>
      </c>
      <c r="O108" s="269">
        <f t="shared" si="90"/>
        <v>7080</v>
      </c>
      <c r="P108" s="264"/>
      <c r="Q108" s="269">
        <f t="shared" si="91"/>
        <v>7080</v>
      </c>
      <c r="R108" s="270">
        <f>VLOOKUP($A108,[5]MFP!$A$7:$E$139,4,FALSE)</f>
        <v>47.945766392639001</v>
      </c>
      <c r="S108" s="271">
        <f t="shared" si="92"/>
        <v>47946</v>
      </c>
      <c r="T108" s="271">
        <f t="shared" si="93"/>
        <v>12082</v>
      </c>
      <c r="U108" s="271">
        <f t="shared" si="94"/>
        <v>60028</v>
      </c>
      <c r="V108" s="270">
        <f>VLOOKUP($A108,[5]MFP!$A$7:$E$139,5,FALSE)</f>
        <v>21.833438610346999</v>
      </c>
      <c r="W108" s="271">
        <f t="shared" si="95"/>
        <v>10917</v>
      </c>
      <c r="X108" s="271">
        <f t="shared" si="96"/>
        <v>3133</v>
      </c>
      <c r="Y108" s="271">
        <f t="shared" si="97"/>
        <v>14050</v>
      </c>
      <c r="Z108" s="270">
        <f t="shared" si="98"/>
        <v>69.779205002986004</v>
      </c>
      <c r="AA108" s="271">
        <f t="shared" si="98"/>
        <v>58863</v>
      </c>
      <c r="AB108" s="271">
        <f t="shared" si="98"/>
        <v>15215</v>
      </c>
      <c r="AC108" s="272">
        <f t="shared" si="98"/>
        <v>74078</v>
      </c>
      <c r="AD108" s="270">
        <f>VLOOKUP($A108,[5]MFP!$A$7:$E$139,4,FALSE)</f>
        <v>47.945766392639001</v>
      </c>
      <c r="AE108" s="271">
        <f t="shared" si="99"/>
        <v>38357</v>
      </c>
      <c r="AF108" s="271">
        <f t="shared" si="100"/>
        <v>9666</v>
      </c>
      <c r="AG108" s="271">
        <f t="shared" si="101"/>
        <v>48023</v>
      </c>
      <c r="AH108" s="270">
        <f>VLOOKUP($A108,[5]MFP!$A$7:$E$139,5,FALSE)</f>
        <v>21.833438610346999</v>
      </c>
      <c r="AI108" s="271">
        <f t="shared" si="102"/>
        <v>8733</v>
      </c>
      <c r="AJ108" s="271">
        <f t="shared" si="103"/>
        <v>2506</v>
      </c>
      <c r="AK108" s="271">
        <f t="shared" si="104"/>
        <v>11239</v>
      </c>
      <c r="AL108" s="270">
        <f t="shared" si="105"/>
        <v>69.779205002986004</v>
      </c>
      <c r="AM108" s="271">
        <f t="shared" si="105"/>
        <v>47090</v>
      </c>
      <c r="AN108" s="271">
        <f t="shared" si="105"/>
        <v>12172</v>
      </c>
      <c r="AO108" s="273">
        <f t="shared" si="105"/>
        <v>59262</v>
      </c>
      <c r="AP108" s="274">
        <f t="shared" si="106"/>
        <v>140420</v>
      </c>
    </row>
    <row r="109" spans="1:42" ht="15" customHeight="1" x14ac:dyDescent="0.2">
      <c r="A109" s="276" t="s">
        <v>567</v>
      </c>
      <c r="B109" s="277" t="s">
        <v>567</v>
      </c>
      <c r="C109" s="278" t="s">
        <v>568</v>
      </c>
      <c r="D109" s="279">
        <f>VLOOKUP(A109,[2]Template!$A$3:$G$133,7,FALSE)</f>
        <v>0</v>
      </c>
      <c r="E109" s="280">
        <f t="shared" si="86"/>
        <v>0</v>
      </c>
      <c r="F109" s="279"/>
      <c r="G109" s="281">
        <f t="shared" si="87"/>
        <v>0</v>
      </c>
      <c r="H109" s="279"/>
      <c r="I109" s="281">
        <f t="shared" si="88"/>
        <v>0</v>
      </c>
      <c r="J109" s="282">
        <f t="shared" si="89"/>
        <v>0</v>
      </c>
      <c r="K109" s="283"/>
      <c r="L109" s="284">
        <f>VLOOKUP($A109,'[3]21-22_4_Level 4'!$A$7:$F$139,6,FALSE)</f>
        <v>10000</v>
      </c>
      <c r="M109" s="285"/>
      <c r="N109" s="279">
        <f>VLOOKUP($A109,'[4]Feb MFP_SCA'!$B$4:$K$124,10,FALSE)</f>
        <v>269</v>
      </c>
      <c r="O109" s="286">
        <f t="shared" si="90"/>
        <v>15871</v>
      </c>
      <c r="P109" s="281"/>
      <c r="Q109" s="286">
        <f t="shared" si="91"/>
        <v>15871</v>
      </c>
      <c r="R109" s="287">
        <f>VLOOKUP($A109,[5]MFP!$A$7:$E$139,4,FALSE)</f>
        <v>51.647083864999999</v>
      </c>
      <c r="S109" s="288">
        <f t="shared" si="92"/>
        <v>51647</v>
      </c>
      <c r="T109" s="288">
        <f t="shared" si="93"/>
        <v>13015</v>
      </c>
      <c r="U109" s="288">
        <f t="shared" si="94"/>
        <v>64662</v>
      </c>
      <c r="V109" s="287">
        <f>VLOOKUP($A109,[5]MFP!$A$7:$E$139,5,FALSE)</f>
        <v>26.964285713999999</v>
      </c>
      <c r="W109" s="288">
        <f t="shared" si="95"/>
        <v>13482</v>
      </c>
      <c r="X109" s="288">
        <f t="shared" si="96"/>
        <v>3869</v>
      </c>
      <c r="Y109" s="288">
        <f t="shared" si="97"/>
        <v>17351</v>
      </c>
      <c r="Z109" s="287">
        <f t="shared" si="98"/>
        <v>78.611369578999998</v>
      </c>
      <c r="AA109" s="288">
        <f t="shared" si="98"/>
        <v>65129</v>
      </c>
      <c r="AB109" s="288">
        <f t="shared" si="98"/>
        <v>16884</v>
      </c>
      <c r="AC109" s="289">
        <f t="shared" si="98"/>
        <v>82013</v>
      </c>
      <c r="AD109" s="287">
        <f>VLOOKUP($A109,[5]MFP!$A$7:$E$139,4,FALSE)</f>
        <v>51.647083864999999</v>
      </c>
      <c r="AE109" s="288">
        <f t="shared" si="99"/>
        <v>41318</v>
      </c>
      <c r="AF109" s="288">
        <f t="shared" si="100"/>
        <v>10412</v>
      </c>
      <c r="AG109" s="288">
        <f t="shared" si="101"/>
        <v>51730</v>
      </c>
      <c r="AH109" s="287">
        <f>VLOOKUP($A109,[5]MFP!$A$7:$E$139,5,FALSE)</f>
        <v>26.964285713999999</v>
      </c>
      <c r="AI109" s="288">
        <f t="shared" si="102"/>
        <v>10786</v>
      </c>
      <c r="AJ109" s="288">
        <f t="shared" si="103"/>
        <v>3096</v>
      </c>
      <c r="AK109" s="288">
        <f t="shared" si="104"/>
        <v>13882</v>
      </c>
      <c r="AL109" s="287">
        <f t="shared" si="105"/>
        <v>78.611369578999998</v>
      </c>
      <c r="AM109" s="288">
        <f t="shared" si="105"/>
        <v>52104</v>
      </c>
      <c r="AN109" s="288">
        <f t="shared" si="105"/>
        <v>13508</v>
      </c>
      <c r="AO109" s="290">
        <f t="shared" si="105"/>
        <v>65612</v>
      </c>
      <c r="AP109" s="291">
        <f t="shared" si="106"/>
        <v>173496</v>
      </c>
    </row>
    <row r="110" spans="1:42" ht="15" customHeight="1" x14ac:dyDescent="0.2">
      <c r="A110" s="243" t="s">
        <v>569</v>
      </c>
      <c r="B110" s="244" t="s">
        <v>569</v>
      </c>
      <c r="C110" s="245" t="s">
        <v>570</v>
      </c>
      <c r="D110" s="246">
        <f>VLOOKUP(A110,[2]Template!$A$3:$G$133,7,FALSE)</f>
        <v>0</v>
      </c>
      <c r="E110" s="247">
        <f t="shared" si="86"/>
        <v>0</v>
      </c>
      <c r="F110" s="246"/>
      <c r="G110" s="248">
        <f t="shared" si="87"/>
        <v>0</v>
      </c>
      <c r="H110" s="246"/>
      <c r="I110" s="248">
        <f t="shared" si="88"/>
        <v>0</v>
      </c>
      <c r="J110" s="249">
        <f t="shared" si="89"/>
        <v>0</v>
      </c>
      <c r="K110" s="250"/>
      <c r="L110" s="251">
        <f>VLOOKUP($A110,'[3]21-22_4_Level 4'!$A$7:$F$139,6,FALSE)</f>
        <v>0</v>
      </c>
      <c r="M110" s="252"/>
      <c r="N110" s="246">
        <f>VLOOKUP($A110,'[4]Feb MFP_SCA'!$B$4:$K$124,10,FALSE)</f>
        <v>122</v>
      </c>
      <c r="O110" s="253">
        <f t="shared" si="90"/>
        <v>7198</v>
      </c>
      <c r="P110" s="248"/>
      <c r="Q110" s="253">
        <f t="shared" si="91"/>
        <v>7198</v>
      </c>
      <c r="R110" s="254">
        <f>VLOOKUP($A110,[5]MFP!$A$7:$E$139,4,FALSE)</f>
        <v>14.558378136</v>
      </c>
      <c r="S110" s="255">
        <f t="shared" si="92"/>
        <v>14558</v>
      </c>
      <c r="T110" s="255">
        <f t="shared" si="93"/>
        <v>3669</v>
      </c>
      <c r="U110" s="255">
        <f t="shared" si="94"/>
        <v>18227</v>
      </c>
      <c r="V110" s="254">
        <f>VLOOKUP($A110,[5]MFP!$A$7:$E$139,5,FALSE)</f>
        <v>9.1999999999999993</v>
      </c>
      <c r="W110" s="255">
        <f t="shared" si="95"/>
        <v>4600</v>
      </c>
      <c r="X110" s="255">
        <f t="shared" si="96"/>
        <v>1320</v>
      </c>
      <c r="Y110" s="255">
        <f t="shared" si="97"/>
        <v>5920</v>
      </c>
      <c r="Z110" s="254">
        <f t="shared" si="98"/>
        <v>23.758378135999997</v>
      </c>
      <c r="AA110" s="255">
        <f t="shared" si="98"/>
        <v>19158</v>
      </c>
      <c r="AB110" s="255">
        <f t="shared" si="98"/>
        <v>4989</v>
      </c>
      <c r="AC110" s="256">
        <f t="shared" si="98"/>
        <v>24147</v>
      </c>
      <c r="AD110" s="254">
        <f>VLOOKUP($A110,[5]MFP!$A$7:$E$139,4,FALSE)</f>
        <v>14.558378136</v>
      </c>
      <c r="AE110" s="255">
        <f t="shared" si="99"/>
        <v>11647</v>
      </c>
      <c r="AF110" s="255">
        <f t="shared" si="100"/>
        <v>2935</v>
      </c>
      <c r="AG110" s="255">
        <f t="shared" si="101"/>
        <v>14582</v>
      </c>
      <c r="AH110" s="254">
        <f>VLOOKUP($A110,[5]MFP!$A$7:$E$139,5,FALSE)</f>
        <v>9.1999999999999993</v>
      </c>
      <c r="AI110" s="255">
        <f t="shared" si="102"/>
        <v>3680</v>
      </c>
      <c r="AJ110" s="255">
        <f t="shared" si="103"/>
        <v>1056</v>
      </c>
      <c r="AK110" s="255">
        <f t="shared" si="104"/>
        <v>4736</v>
      </c>
      <c r="AL110" s="254">
        <f t="shared" si="105"/>
        <v>23.758378135999997</v>
      </c>
      <c r="AM110" s="255">
        <f t="shared" si="105"/>
        <v>15327</v>
      </c>
      <c r="AN110" s="255">
        <f t="shared" si="105"/>
        <v>3991</v>
      </c>
      <c r="AO110" s="257">
        <f t="shared" si="105"/>
        <v>19318</v>
      </c>
      <c r="AP110" s="258">
        <f t="shared" si="106"/>
        <v>50663</v>
      </c>
    </row>
    <row r="111" spans="1:42" ht="15" customHeight="1" x14ac:dyDescent="0.2">
      <c r="A111" s="275" t="s">
        <v>571</v>
      </c>
      <c r="B111" s="260" t="s">
        <v>571</v>
      </c>
      <c r="C111" s="261" t="s">
        <v>572</v>
      </c>
      <c r="D111" s="262">
        <f>VLOOKUP(A111,[2]Template!$A$3:$G$133,7,FALSE)</f>
        <v>0</v>
      </c>
      <c r="E111" s="263">
        <f t="shared" si="86"/>
        <v>0</v>
      </c>
      <c r="F111" s="262"/>
      <c r="G111" s="264">
        <f t="shared" si="87"/>
        <v>0</v>
      </c>
      <c r="H111" s="262"/>
      <c r="I111" s="264">
        <f t="shared" si="88"/>
        <v>0</v>
      </c>
      <c r="J111" s="265">
        <f t="shared" si="89"/>
        <v>0</v>
      </c>
      <c r="K111" s="266"/>
      <c r="L111" s="267">
        <f>VLOOKUP($A111,'[3]21-22_4_Level 4'!$A$7:$F$139,6,FALSE)</f>
        <v>10000</v>
      </c>
      <c r="M111" s="268"/>
      <c r="N111" s="262">
        <f>VLOOKUP($A111,'[4]Feb MFP_SCA'!$B$4:$K$124,10,FALSE)</f>
        <v>216</v>
      </c>
      <c r="O111" s="269">
        <f t="shared" si="90"/>
        <v>12744</v>
      </c>
      <c r="P111" s="264"/>
      <c r="Q111" s="269">
        <f t="shared" si="91"/>
        <v>12744</v>
      </c>
      <c r="R111" s="270">
        <f>VLOOKUP($A111,[5]MFP!$A$7:$E$139,4,FALSE)</f>
        <v>38.990277777109</v>
      </c>
      <c r="S111" s="271">
        <f t="shared" si="92"/>
        <v>38990</v>
      </c>
      <c r="T111" s="271">
        <f t="shared" si="93"/>
        <v>9825</v>
      </c>
      <c r="U111" s="271">
        <f t="shared" si="94"/>
        <v>48815</v>
      </c>
      <c r="V111" s="270">
        <f>VLOOKUP($A111,[5]MFP!$A$7:$E$139,5,FALSE)</f>
        <v>11.138888888887999</v>
      </c>
      <c r="W111" s="271">
        <f t="shared" si="95"/>
        <v>5569</v>
      </c>
      <c r="X111" s="271">
        <f t="shared" si="96"/>
        <v>1598</v>
      </c>
      <c r="Y111" s="271">
        <f t="shared" si="97"/>
        <v>7167</v>
      </c>
      <c r="Z111" s="270">
        <f t="shared" si="98"/>
        <v>50.129166665996998</v>
      </c>
      <c r="AA111" s="271">
        <f t="shared" si="98"/>
        <v>44559</v>
      </c>
      <c r="AB111" s="271">
        <f t="shared" si="98"/>
        <v>11423</v>
      </c>
      <c r="AC111" s="272">
        <f t="shared" si="98"/>
        <v>55982</v>
      </c>
      <c r="AD111" s="270">
        <f>VLOOKUP($A111,[5]MFP!$A$7:$E$139,4,FALSE)</f>
        <v>38.990277777109</v>
      </c>
      <c r="AE111" s="271">
        <f t="shared" si="99"/>
        <v>31192</v>
      </c>
      <c r="AF111" s="271">
        <f t="shared" si="100"/>
        <v>7860</v>
      </c>
      <c r="AG111" s="271">
        <f t="shared" si="101"/>
        <v>39052</v>
      </c>
      <c r="AH111" s="270">
        <f>VLOOKUP($A111,[5]MFP!$A$7:$E$139,5,FALSE)</f>
        <v>11.138888888887999</v>
      </c>
      <c r="AI111" s="271">
        <f t="shared" si="102"/>
        <v>4456</v>
      </c>
      <c r="AJ111" s="271">
        <f t="shared" si="103"/>
        <v>1279</v>
      </c>
      <c r="AK111" s="271">
        <f t="shared" si="104"/>
        <v>5735</v>
      </c>
      <c r="AL111" s="270">
        <f t="shared" si="105"/>
        <v>50.129166665996998</v>
      </c>
      <c r="AM111" s="271">
        <f t="shared" si="105"/>
        <v>35648</v>
      </c>
      <c r="AN111" s="271">
        <f t="shared" si="105"/>
        <v>9139</v>
      </c>
      <c r="AO111" s="273">
        <f t="shared" si="105"/>
        <v>44787</v>
      </c>
      <c r="AP111" s="274">
        <f t="shared" si="106"/>
        <v>123513</v>
      </c>
    </row>
    <row r="112" spans="1:42" ht="15" customHeight="1" x14ac:dyDescent="0.2">
      <c r="A112" s="275" t="s">
        <v>573</v>
      </c>
      <c r="B112" s="260" t="s">
        <v>573</v>
      </c>
      <c r="C112" s="261" t="s">
        <v>574</v>
      </c>
      <c r="D112" s="262">
        <f>VLOOKUP(A112,[2]Template!$A$3:$G$133,7,FALSE)</f>
        <v>0</v>
      </c>
      <c r="E112" s="263">
        <f t="shared" si="86"/>
        <v>0</v>
      </c>
      <c r="F112" s="262"/>
      <c r="G112" s="264">
        <f t="shared" si="87"/>
        <v>0</v>
      </c>
      <c r="H112" s="262"/>
      <c r="I112" s="264">
        <f t="shared" si="88"/>
        <v>0</v>
      </c>
      <c r="J112" s="265">
        <f t="shared" si="89"/>
        <v>0</v>
      </c>
      <c r="K112" s="266"/>
      <c r="L112" s="267">
        <f>VLOOKUP($A112,'[3]21-22_4_Level 4'!$A$7:$F$139,6,FALSE)</f>
        <v>32174</v>
      </c>
      <c r="M112" s="268"/>
      <c r="N112" s="262">
        <f>VLOOKUP($A112,'[4]Feb MFP_SCA'!$B$4:$K$124,10,FALSE)</f>
        <v>504</v>
      </c>
      <c r="O112" s="269">
        <f t="shared" si="90"/>
        <v>29736</v>
      </c>
      <c r="P112" s="264"/>
      <c r="Q112" s="269">
        <f t="shared" si="91"/>
        <v>29736</v>
      </c>
      <c r="R112" s="270">
        <f>VLOOKUP($A112,[5]MFP!$A$7:$E$139,4,FALSE)</f>
        <v>35.5</v>
      </c>
      <c r="S112" s="271">
        <f t="shared" si="92"/>
        <v>35500</v>
      </c>
      <c r="T112" s="271">
        <f t="shared" si="93"/>
        <v>8946</v>
      </c>
      <c r="U112" s="271">
        <f t="shared" si="94"/>
        <v>44446</v>
      </c>
      <c r="V112" s="270">
        <f>VLOOKUP($A112,[5]MFP!$A$7:$E$139,5,FALSE)</f>
        <v>10</v>
      </c>
      <c r="W112" s="271">
        <f t="shared" si="95"/>
        <v>5000</v>
      </c>
      <c r="X112" s="271">
        <f t="shared" si="96"/>
        <v>1435</v>
      </c>
      <c r="Y112" s="271">
        <f t="shared" si="97"/>
        <v>6435</v>
      </c>
      <c r="Z112" s="270">
        <f t="shared" si="98"/>
        <v>45.5</v>
      </c>
      <c r="AA112" s="271">
        <f t="shared" si="98"/>
        <v>40500</v>
      </c>
      <c r="AB112" s="271">
        <f t="shared" si="98"/>
        <v>10381</v>
      </c>
      <c r="AC112" s="272">
        <f t="shared" si="98"/>
        <v>50881</v>
      </c>
      <c r="AD112" s="270">
        <f>VLOOKUP($A112,[5]MFP!$A$7:$E$139,4,FALSE)</f>
        <v>35.5</v>
      </c>
      <c r="AE112" s="271">
        <f t="shared" si="99"/>
        <v>28400</v>
      </c>
      <c r="AF112" s="271">
        <f t="shared" si="100"/>
        <v>7157</v>
      </c>
      <c r="AG112" s="271">
        <f t="shared" si="101"/>
        <v>35557</v>
      </c>
      <c r="AH112" s="270">
        <f>VLOOKUP($A112,[5]MFP!$A$7:$E$139,5,FALSE)</f>
        <v>10</v>
      </c>
      <c r="AI112" s="271">
        <f t="shared" si="102"/>
        <v>4000</v>
      </c>
      <c r="AJ112" s="271">
        <f t="shared" si="103"/>
        <v>1148</v>
      </c>
      <c r="AK112" s="271">
        <f t="shared" si="104"/>
        <v>5148</v>
      </c>
      <c r="AL112" s="270">
        <f t="shared" si="105"/>
        <v>45.5</v>
      </c>
      <c r="AM112" s="271">
        <f t="shared" si="105"/>
        <v>32400</v>
      </c>
      <c r="AN112" s="271">
        <f t="shared" si="105"/>
        <v>8305</v>
      </c>
      <c r="AO112" s="273">
        <f t="shared" si="105"/>
        <v>40705</v>
      </c>
      <c r="AP112" s="274">
        <f t="shared" si="106"/>
        <v>153496</v>
      </c>
    </row>
    <row r="113" spans="1:42" ht="15" customHeight="1" x14ac:dyDescent="0.2">
      <c r="A113" s="275" t="s">
        <v>575</v>
      </c>
      <c r="B113" s="260" t="s">
        <v>575</v>
      </c>
      <c r="C113" s="261" t="s">
        <v>576</v>
      </c>
      <c r="D113" s="262">
        <f>VLOOKUP(A113,[2]Template!$A$3:$G$133,7,FALSE)</f>
        <v>0</v>
      </c>
      <c r="E113" s="263">
        <f t="shared" si="86"/>
        <v>0</v>
      </c>
      <c r="F113" s="262"/>
      <c r="G113" s="264">
        <f t="shared" si="87"/>
        <v>0</v>
      </c>
      <c r="H113" s="262"/>
      <c r="I113" s="264">
        <f t="shared" si="88"/>
        <v>0</v>
      </c>
      <c r="J113" s="265">
        <f t="shared" si="89"/>
        <v>0</v>
      </c>
      <c r="K113" s="266"/>
      <c r="L113" s="267">
        <f>VLOOKUP($A113,'[3]21-22_4_Level 4'!$A$7:$F$139,6,FALSE)</f>
        <v>10000</v>
      </c>
      <c r="M113" s="268"/>
      <c r="N113" s="262">
        <f>VLOOKUP($A113,'[4]Feb MFP_SCA'!$B$4:$K$124,10,FALSE)</f>
        <v>75</v>
      </c>
      <c r="O113" s="269">
        <f t="shared" si="90"/>
        <v>4425</v>
      </c>
      <c r="P113" s="264"/>
      <c r="Q113" s="269">
        <f t="shared" si="91"/>
        <v>4425</v>
      </c>
      <c r="R113" s="270">
        <f>VLOOKUP($A113,[5]MFP!$A$7:$E$139,4,FALSE)</f>
        <v>6</v>
      </c>
      <c r="S113" s="271">
        <f t="shared" si="92"/>
        <v>6000</v>
      </c>
      <c r="T113" s="271">
        <f t="shared" si="93"/>
        <v>1512</v>
      </c>
      <c r="U113" s="271">
        <f t="shared" si="94"/>
        <v>7512</v>
      </c>
      <c r="V113" s="270">
        <f>VLOOKUP($A113,[5]MFP!$A$7:$E$139,5,FALSE)</f>
        <v>6</v>
      </c>
      <c r="W113" s="271">
        <f t="shared" si="95"/>
        <v>3000</v>
      </c>
      <c r="X113" s="271">
        <f t="shared" si="96"/>
        <v>861</v>
      </c>
      <c r="Y113" s="271">
        <f t="shared" si="97"/>
        <v>3861</v>
      </c>
      <c r="Z113" s="270">
        <f t="shared" si="98"/>
        <v>12</v>
      </c>
      <c r="AA113" s="271">
        <f t="shared" si="98"/>
        <v>9000</v>
      </c>
      <c r="AB113" s="271">
        <f t="shared" si="98"/>
        <v>2373</v>
      </c>
      <c r="AC113" s="272">
        <f t="shared" si="98"/>
        <v>11373</v>
      </c>
      <c r="AD113" s="270">
        <f>VLOOKUP($A113,[5]MFP!$A$7:$E$139,4,FALSE)</f>
        <v>6</v>
      </c>
      <c r="AE113" s="271">
        <f t="shared" si="99"/>
        <v>4800</v>
      </c>
      <c r="AF113" s="271">
        <f t="shared" si="100"/>
        <v>1210</v>
      </c>
      <c r="AG113" s="271">
        <f t="shared" si="101"/>
        <v>6010</v>
      </c>
      <c r="AH113" s="270">
        <f>VLOOKUP($A113,[5]MFP!$A$7:$E$139,5,FALSE)</f>
        <v>6</v>
      </c>
      <c r="AI113" s="271">
        <f t="shared" si="102"/>
        <v>2400</v>
      </c>
      <c r="AJ113" s="271">
        <f t="shared" si="103"/>
        <v>689</v>
      </c>
      <c r="AK113" s="271">
        <f t="shared" si="104"/>
        <v>3089</v>
      </c>
      <c r="AL113" s="270">
        <f t="shared" si="105"/>
        <v>12</v>
      </c>
      <c r="AM113" s="271">
        <f t="shared" si="105"/>
        <v>7200</v>
      </c>
      <c r="AN113" s="271">
        <f t="shared" si="105"/>
        <v>1899</v>
      </c>
      <c r="AO113" s="273">
        <f t="shared" si="105"/>
        <v>9099</v>
      </c>
      <c r="AP113" s="274">
        <f t="shared" si="106"/>
        <v>34897</v>
      </c>
    </row>
    <row r="114" spans="1:42" ht="15" customHeight="1" x14ac:dyDescent="0.2">
      <c r="A114" s="276" t="s">
        <v>577</v>
      </c>
      <c r="B114" s="277" t="s">
        <v>577</v>
      </c>
      <c r="C114" s="278" t="s">
        <v>578</v>
      </c>
      <c r="D114" s="279">
        <f>VLOOKUP(A114,[2]Template!$A$3:$G$133,7,FALSE)</f>
        <v>0</v>
      </c>
      <c r="E114" s="280">
        <f t="shared" si="86"/>
        <v>0</v>
      </c>
      <c r="F114" s="279"/>
      <c r="G114" s="281">
        <f t="shared" si="87"/>
        <v>0</v>
      </c>
      <c r="H114" s="279"/>
      <c r="I114" s="281">
        <f t="shared" si="88"/>
        <v>0</v>
      </c>
      <c r="J114" s="282">
        <f t="shared" si="89"/>
        <v>0</v>
      </c>
      <c r="K114" s="283"/>
      <c r="L114" s="284">
        <f>VLOOKUP($A114,'[3]21-22_4_Level 4'!$A$7:$F$139,6,FALSE)</f>
        <v>10000</v>
      </c>
      <c r="M114" s="285"/>
      <c r="N114" s="279">
        <f>VLOOKUP($A114,'[4]Feb MFP_SCA'!$B$4:$K$124,10,FALSE)</f>
        <v>355</v>
      </c>
      <c r="O114" s="286">
        <f t="shared" si="90"/>
        <v>20945</v>
      </c>
      <c r="P114" s="281"/>
      <c r="Q114" s="286">
        <f t="shared" si="91"/>
        <v>20945</v>
      </c>
      <c r="R114" s="287">
        <f>VLOOKUP($A114,[5]MFP!$A$7:$E$139,4,FALSE)</f>
        <v>86.484375</v>
      </c>
      <c r="S114" s="288">
        <f t="shared" si="92"/>
        <v>86484</v>
      </c>
      <c r="T114" s="288">
        <f t="shared" si="93"/>
        <v>21794</v>
      </c>
      <c r="U114" s="288">
        <f t="shared" si="94"/>
        <v>108278</v>
      </c>
      <c r="V114" s="287">
        <f>VLOOKUP($A114,[5]MFP!$A$7:$E$139,5,FALSE)</f>
        <v>27.709069611</v>
      </c>
      <c r="W114" s="288">
        <f t="shared" si="95"/>
        <v>13855</v>
      </c>
      <c r="X114" s="288">
        <f t="shared" si="96"/>
        <v>3976</v>
      </c>
      <c r="Y114" s="288">
        <f t="shared" si="97"/>
        <v>17831</v>
      </c>
      <c r="Z114" s="287">
        <f t="shared" si="98"/>
        <v>114.193444611</v>
      </c>
      <c r="AA114" s="288">
        <f t="shared" si="98"/>
        <v>100339</v>
      </c>
      <c r="AB114" s="288">
        <f t="shared" si="98"/>
        <v>25770</v>
      </c>
      <c r="AC114" s="289">
        <f t="shared" si="98"/>
        <v>126109</v>
      </c>
      <c r="AD114" s="287">
        <f>VLOOKUP($A114,[5]MFP!$A$7:$E$139,4,FALSE)</f>
        <v>86.484375</v>
      </c>
      <c r="AE114" s="288">
        <f t="shared" si="99"/>
        <v>69188</v>
      </c>
      <c r="AF114" s="288">
        <f t="shared" si="100"/>
        <v>17435</v>
      </c>
      <c r="AG114" s="288">
        <f t="shared" si="101"/>
        <v>86623</v>
      </c>
      <c r="AH114" s="287">
        <f>VLOOKUP($A114,[5]MFP!$A$7:$E$139,5,FALSE)</f>
        <v>27.709069611</v>
      </c>
      <c r="AI114" s="288">
        <f t="shared" si="102"/>
        <v>11084</v>
      </c>
      <c r="AJ114" s="288">
        <f t="shared" si="103"/>
        <v>3181</v>
      </c>
      <c r="AK114" s="288">
        <f t="shared" si="104"/>
        <v>14265</v>
      </c>
      <c r="AL114" s="287">
        <f t="shared" si="105"/>
        <v>114.193444611</v>
      </c>
      <c r="AM114" s="288">
        <f t="shared" si="105"/>
        <v>80272</v>
      </c>
      <c r="AN114" s="288">
        <f t="shared" si="105"/>
        <v>20616</v>
      </c>
      <c r="AO114" s="290">
        <f t="shared" si="105"/>
        <v>100888</v>
      </c>
      <c r="AP114" s="291">
        <f t="shared" si="106"/>
        <v>257942</v>
      </c>
    </row>
    <row r="115" spans="1:42" ht="15" customHeight="1" x14ac:dyDescent="0.2">
      <c r="A115" s="243" t="s">
        <v>579</v>
      </c>
      <c r="B115" s="244" t="s">
        <v>579</v>
      </c>
      <c r="C115" s="245" t="s">
        <v>580</v>
      </c>
      <c r="D115" s="246">
        <f>VLOOKUP(A115,[2]Template!$A$3:$G$133,7,FALSE)</f>
        <v>0</v>
      </c>
      <c r="E115" s="247">
        <f t="shared" si="86"/>
        <v>0</v>
      </c>
      <c r="F115" s="246"/>
      <c r="G115" s="248">
        <f t="shared" si="87"/>
        <v>0</v>
      </c>
      <c r="H115" s="246"/>
      <c r="I115" s="248">
        <f t="shared" si="88"/>
        <v>0</v>
      </c>
      <c r="J115" s="249">
        <f t="shared" si="89"/>
        <v>0</v>
      </c>
      <c r="K115" s="250"/>
      <c r="L115" s="251">
        <f>VLOOKUP($A115,'[3]21-22_4_Level 4'!$A$7:$F$139,6,FALSE)</f>
        <v>0</v>
      </c>
      <c r="M115" s="252"/>
      <c r="N115" s="246">
        <f>VLOOKUP($A115,'[4]Feb MFP_SCA'!$B$4:$K$124,10,FALSE)</f>
        <v>93</v>
      </c>
      <c r="O115" s="253">
        <f t="shared" si="90"/>
        <v>5487</v>
      </c>
      <c r="P115" s="248"/>
      <c r="Q115" s="253">
        <f t="shared" si="91"/>
        <v>5487</v>
      </c>
      <c r="R115" s="254">
        <f>VLOOKUP($A115,[5]MFP!$A$7:$E$139,4,FALSE)</f>
        <v>52</v>
      </c>
      <c r="S115" s="255">
        <f t="shared" si="92"/>
        <v>52000</v>
      </c>
      <c r="T115" s="255">
        <f t="shared" si="93"/>
        <v>13104</v>
      </c>
      <c r="U115" s="255">
        <f t="shared" si="94"/>
        <v>65104</v>
      </c>
      <c r="V115" s="254">
        <f>VLOOKUP($A115,[5]MFP!$A$7:$E$139,5,FALSE)</f>
        <v>13</v>
      </c>
      <c r="W115" s="255">
        <f t="shared" si="95"/>
        <v>6500</v>
      </c>
      <c r="X115" s="255">
        <f t="shared" si="96"/>
        <v>1866</v>
      </c>
      <c r="Y115" s="255">
        <f t="shared" si="97"/>
        <v>8366</v>
      </c>
      <c r="Z115" s="254">
        <f t="shared" si="98"/>
        <v>65</v>
      </c>
      <c r="AA115" s="255">
        <f t="shared" si="98"/>
        <v>58500</v>
      </c>
      <c r="AB115" s="255">
        <f t="shared" si="98"/>
        <v>14970</v>
      </c>
      <c r="AC115" s="256">
        <f t="shared" si="98"/>
        <v>73470</v>
      </c>
      <c r="AD115" s="254">
        <f>VLOOKUP($A115,[5]MFP!$A$7:$E$139,4,FALSE)</f>
        <v>52</v>
      </c>
      <c r="AE115" s="255">
        <f t="shared" si="99"/>
        <v>41600</v>
      </c>
      <c r="AF115" s="255">
        <f t="shared" si="100"/>
        <v>10483</v>
      </c>
      <c r="AG115" s="255">
        <f t="shared" si="101"/>
        <v>52083</v>
      </c>
      <c r="AH115" s="254">
        <f>VLOOKUP($A115,[5]MFP!$A$7:$E$139,5,FALSE)</f>
        <v>13</v>
      </c>
      <c r="AI115" s="255">
        <f t="shared" si="102"/>
        <v>5200</v>
      </c>
      <c r="AJ115" s="255">
        <f t="shared" si="103"/>
        <v>1492</v>
      </c>
      <c r="AK115" s="255">
        <f t="shared" si="104"/>
        <v>6692</v>
      </c>
      <c r="AL115" s="254">
        <f t="shared" si="105"/>
        <v>65</v>
      </c>
      <c r="AM115" s="255">
        <f t="shared" si="105"/>
        <v>46800</v>
      </c>
      <c r="AN115" s="255">
        <f t="shared" si="105"/>
        <v>11975</v>
      </c>
      <c r="AO115" s="257">
        <f t="shared" si="105"/>
        <v>58775</v>
      </c>
      <c r="AP115" s="258">
        <f t="shared" si="106"/>
        <v>137732</v>
      </c>
    </row>
    <row r="116" spans="1:42" ht="15" customHeight="1" x14ac:dyDescent="0.2">
      <c r="A116" s="275" t="s">
        <v>581</v>
      </c>
      <c r="B116" s="260" t="s">
        <v>581</v>
      </c>
      <c r="C116" s="261" t="s">
        <v>582</v>
      </c>
      <c r="D116" s="262">
        <f>VLOOKUP(A116,[2]Template!$A$3:$G$133,7,FALSE)</f>
        <v>0</v>
      </c>
      <c r="E116" s="263">
        <f t="shared" si="86"/>
        <v>0</v>
      </c>
      <c r="F116" s="262"/>
      <c r="G116" s="264">
        <f t="shared" si="87"/>
        <v>0</v>
      </c>
      <c r="H116" s="262"/>
      <c r="I116" s="264">
        <f t="shared" si="88"/>
        <v>0</v>
      </c>
      <c r="J116" s="265">
        <f t="shared" si="89"/>
        <v>0</v>
      </c>
      <c r="K116" s="266"/>
      <c r="L116" s="267">
        <f>VLOOKUP($A116,'[3]21-22_4_Level 4'!$A$7:$F$139,6,FALSE)</f>
        <v>0</v>
      </c>
      <c r="M116" s="268"/>
      <c r="N116" s="262">
        <f>VLOOKUP($A116,'[4]Feb MFP_SCA'!$B$4:$K$124,10,FALSE)</f>
        <v>226</v>
      </c>
      <c r="O116" s="269">
        <f t="shared" si="90"/>
        <v>13334</v>
      </c>
      <c r="P116" s="264"/>
      <c r="Q116" s="269">
        <f t="shared" si="91"/>
        <v>13334</v>
      </c>
      <c r="R116" s="270">
        <f>VLOOKUP($A116,[5]MFP!$A$7:$E$139,4,FALSE)</f>
        <v>62</v>
      </c>
      <c r="S116" s="271">
        <f t="shared" si="92"/>
        <v>62000</v>
      </c>
      <c r="T116" s="271">
        <f t="shared" si="93"/>
        <v>15624</v>
      </c>
      <c r="U116" s="271">
        <f t="shared" si="94"/>
        <v>77624</v>
      </c>
      <c r="V116" s="270">
        <f>VLOOKUP($A116,[5]MFP!$A$7:$E$139,5,FALSE)</f>
        <v>27.294259750999998</v>
      </c>
      <c r="W116" s="271">
        <f t="shared" si="95"/>
        <v>13647</v>
      </c>
      <c r="X116" s="271">
        <f t="shared" si="96"/>
        <v>3917</v>
      </c>
      <c r="Y116" s="271">
        <f t="shared" si="97"/>
        <v>17564</v>
      </c>
      <c r="Z116" s="270">
        <f t="shared" si="98"/>
        <v>89.294259750999998</v>
      </c>
      <c r="AA116" s="271">
        <f t="shared" si="98"/>
        <v>75647</v>
      </c>
      <c r="AB116" s="271">
        <f t="shared" si="98"/>
        <v>19541</v>
      </c>
      <c r="AC116" s="272">
        <f t="shared" si="98"/>
        <v>95188</v>
      </c>
      <c r="AD116" s="270">
        <f>VLOOKUP($A116,[5]MFP!$A$7:$E$139,4,FALSE)</f>
        <v>62</v>
      </c>
      <c r="AE116" s="271">
        <f t="shared" si="99"/>
        <v>49600</v>
      </c>
      <c r="AF116" s="271">
        <f t="shared" si="100"/>
        <v>12499</v>
      </c>
      <c r="AG116" s="271">
        <f t="shared" si="101"/>
        <v>62099</v>
      </c>
      <c r="AH116" s="270">
        <f>VLOOKUP($A116,[5]MFP!$A$7:$E$139,5,FALSE)</f>
        <v>27.294259750999998</v>
      </c>
      <c r="AI116" s="271">
        <f t="shared" si="102"/>
        <v>10918</v>
      </c>
      <c r="AJ116" s="271">
        <f t="shared" si="103"/>
        <v>3133</v>
      </c>
      <c r="AK116" s="271">
        <f t="shared" si="104"/>
        <v>14051</v>
      </c>
      <c r="AL116" s="270">
        <f t="shared" si="105"/>
        <v>89.294259750999998</v>
      </c>
      <c r="AM116" s="271">
        <f t="shared" si="105"/>
        <v>60518</v>
      </c>
      <c r="AN116" s="271">
        <f t="shared" si="105"/>
        <v>15632</v>
      </c>
      <c r="AO116" s="273">
        <f t="shared" si="105"/>
        <v>76150</v>
      </c>
      <c r="AP116" s="274">
        <f t="shared" si="106"/>
        <v>184672</v>
      </c>
    </row>
    <row r="117" spans="1:42" ht="15" customHeight="1" x14ac:dyDescent="0.2">
      <c r="A117" s="275" t="s">
        <v>583</v>
      </c>
      <c r="B117" s="260" t="s">
        <v>583</v>
      </c>
      <c r="C117" s="261" t="s">
        <v>584</v>
      </c>
      <c r="D117" s="262">
        <f>VLOOKUP(A117,[2]Template!$A$3:$G$133,7,FALSE)</f>
        <v>0</v>
      </c>
      <c r="E117" s="263">
        <f t="shared" si="86"/>
        <v>0</v>
      </c>
      <c r="F117" s="262"/>
      <c r="G117" s="264">
        <f t="shared" si="87"/>
        <v>0</v>
      </c>
      <c r="H117" s="262"/>
      <c r="I117" s="264">
        <f t="shared" si="88"/>
        <v>0</v>
      </c>
      <c r="J117" s="265">
        <f t="shared" si="89"/>
        <v>0</v>
      </c>
      <c r="K117" s="266"/>
      <c r="L117" s="267">
        <f>VLOOKUP($A117,'[3]21-22_4_Level 4'!$A$7:$F$139,6,FALSE)</f>
        <v>0</v>
      </c>
      <c r="M117" s="268"/>
      <c r="N117" s="262">
        <f>VLOOKUP($A117,'[4]Feb MFP_SCA'!$B$4:$K$124,10,FALSE)</f>
        <v>79</v>
      </c>
      <c r="O117" s="269">
        <f t="shared" si="90"/>
        <v>4661</v>
      </c>
      <c r="P117" s="264"/>
      <c r="Q117" s="269">
        <f t="shared" si="91"/>
        <v>4661</v>
      </c>
      <c r="R117" s="270">
        <f>VLOOKUP($A117,[5]MFP!$A$7:$E$139,4,FALSE)</f>
        <v>40.454545453999998</v>
      </c>
      <c r="S117" s="271">
        <f t="shared" si="92"/>
        <v>40455</v>
      </c>
      <c r="T117" s="271">
        <f t="shared" si="93"/>
        <v>10195</v>
      </c>
      <c r="U117" s="271">
        <f t="shared" si="94"/>
        <v>50650</v>
      </c>
      <c r="V117" s="270">
        <f>VLOOKUP($A117,[5]MFP!$A$7:$E$139,5,FALSE)</f>
        <v>10</v>
      </c>
      <c r="W117" s="271">
        <f t="shared" si="95"/>
        <v>5000</v>
      </c>
      <c r="X117" s="271">
        <f t="shared" si="96"/>
        <v>1435</v>
      </c>
      <c r="Y117" s="271">
        <f t="shared" si="97"/>
        <v>6435</v>
      </c>
      <c r="Z117" s="270">
        <f t="shared" si="98"/>
        <v>50.454545453999998</v>
      </c>
      <c r="AA117" s="271">
        <f t="shared" si="98"/>
        <v>45455</v>
      </c>
      <c r="AB117" s="271">
        <f t="shared" si="98"/>
        <v>11630</v>
      </c>
      <c r="AC117" s="272">
        <f t="shared" si="98"/>
        <v>57085</v>
      </c>
      <c r="AD117" s="270">
        <f>VLOOKUP($A117,[5]MFP!$A$7:$E$139,4,FALSE)</f>
        <v>40.454545453999998</v>
      </c>
      <c r="AE117" s="271">
        <f t="shared" si="99"/>
        <v>32364</v>
      </c>
      <c r="AF117" s="271">
        <f t="shared" si="100"/>
        <v>8156</v>
      </c>
      <c r="AG117" s="271">
        <f t="shared" si="101"/>
        <v>40520</v>
      </c>
      <c r="AH117" s="270">
        <f>VLOOKUP($A117,[5]MFP!$A$7:$E$139,5,FALSE)</f>
        <v>10</v>
      </c>
      <c r="AI117" s="271">
        <f t="shared" si="102"/>
        <v>4000</v>
      </c>
      <c r="AJ117" s="271">
        <f t="shared" si="103"/>
        <v>1148</v>
      </c>
      <c r="AK117" s="271">
        <f t="shared" si="104"/>
        <v>5148</v>
      </c>
      <c r="AL117" s="270">
        <f t="shared" si="105"/>
        <v>50.454545453999998</v>
      </c>
      <c r="AM117" s="271">
        <f t="shared" si="105"/>
        <v>36364</v>
      </c>
      <c r="AN117" s="271">
        <f t="shared" si="105"/>
        <v>9304</v>
      </c>
      <c r="AO117" s="273">
        <f t="shared" si="105"/>
        <v>45668</v>
      </c>
      <c r="AP117" s="274">
        <f t="shared" si="106"/>
        <v>107414</v>
      </c>
    </row>
    <row r="118" spans="1:42" ht="15" customHeight="1" x14ac:dyDescent="0.2">
      <c r="A118" s="275" t="s">
        <v>585</v>
      </c>
      <c r="B118" s="260" t="s">
        <v>585</v>
      </c>
      <c r="C118" s="261" t="s">
        <v>586</v>
      </c>
      <c r="D118" s="262">
        <f>VLOOKUP(A118,[2]Template!$A$3:$G$133,7,FALSE)</f>
        <v>0</v>
      </c>
      <c r="E118" s="263">
        <f t="shared" si="86"/>
        <v>0</v>
      </c>
      <c r="F118" s="262"/>
      <c r="G118" s="264">
        <f t="shared" si="87"/>
        <v>0</v>
      </c>
      <c r="H118" s="262"/>
      <c r="I118" s="264">
        <f t="shared" si="88"/>
        <v>0</v>
      </c>
      <c r="J118" s="265">
        <f t="shared" si="89"/>
        <v>0</v>
      </c>
      <c r="K118" s="266"/>
      <c r="L118" s="267">
        <f>VLOOKUP($A118,'[3]21-22_4_Level 4'!$A$7:$F$139,6,FALSE)</f>
        <v>46814</v>
      </c>
      <c r="M118" s="268"/>
      <c r="N118" s="262">
        <f>VLOOKUP($A118,'[4]Feb MFP_SCA'!$B$4:$K$124,10,FALSE)</f>
        <v>1096</v>
      </c>
      <c r="O118" s="269">
        <f t="shared" si="90"/>
        <v>64664</v>
      </c>
      <c r="P118" s="264"/>
      <c r="Q118" s="269">
        <f t="shared" si="91"/>
        <v>64664</v>
      </c>
      <c r="R118" s="270">
        <f>VLOOKUP($A118,[5]MFP!$A$7:$E$139,4,FALSE)</f>
        <v>73.28350250199999</v>
      </c>
      <c r="S118" s="271">
        <f t="shared" si="92"/>
        <v>73284</v>
      </c>
      <c r="T118" s="271">
        <f t="shared" si="93"/>
        <v>18468</v>
      </c>
      <c r="U118" s="271">
        <f t="shared" si="94"/>
        <v>91752</v>
      </c>
      <c r="V118" s="270">
        <f>VLOOKUP($A118,[5]MFP!$A$7:$E$139,5,FALSE)</f>
        <v>18.626253431999999</v>
      </c>
      <c r="W118" s="271">
        <f t="shared" si="95"/>
        <v>9313</v>
      </c>
      <c r="X118" s="271">
        <f t="shared" si="96"/>
        <v>2673</v>
      </c>
      <c r="Y118" s="271">
        <f t="shared" si="97"/>
        <v>11986</v>
      </c>
      <c r="Z118" s="270">
        <f t="shared" si="98"/>
        <v>91.909755933999989</v>
      </c>
      <c r="AA118" s="271">
        <f t="shared" si="98"/>
        <v>82597</v>
      </c>
      <c r="AB118" s="271">
        <f t="shared" si="98"/>
        <v>21141</v>
      </c>
      <c r="AC118" s="272">
        <f t="shared" si="98"/>
        <v>103738</v>
      </c>
      <c r="AD118" s="270">
        <f>VLOOKUP($A118,[5]MFP!$A$7:$E$139,4,FALSE)</f>
        <v>73.28350250199999</v>
      </c>
      <c r="AE118" s="271">
        <f t="shared" si="99"/>
        <v>58627</v>
      </c>
      <c r="AF118" s="271">
        <f t="shared" si="100"/>
        <v>14774</v>
      </c>
      <c r="AG118" s="271">
        <f t="shared" si="101"/>
        <v>73401</v>
      </c>
      <c r="AH118" s="270">
        <f>VLOOKUP($A118,[5]MFP!$A$7:$E$139,5,FALSE)</f>
        <v>18.626253431999999</v>
      </c>
      <c r="AI118" s="271">
        <f t="shared" si="102"/>
        <v>7451</v>
      </c>
      <c r="AJ118" s="271">
        <f t="shared" si="103"/>
        <v>2138</v>
      </c>
      <c r="AK118" s="271">
        <f t="shared" si="104"/>
        <v>9589</v>
      </c>
      <c r="AL118" s="270">
        <f t="shared" si="105"/>
        <v>91.909755933999989</v>
      </c>
      <c r="AM118" s="271">
        <f t="shared" si="105"/>
        <v>66078</v>
      </c>
      <c r="AN118" s="271">
        <f t="shared" si="105"/>
        <v>16912</v>
      </c>
      <c r="AO118" s="273">
        <f t="shared" si="105"/>
        <v>82990</v>
      </c>
      <c r="AP118" s="274">
        <f t="shared" si="106"/>
        <v>298206</v>
      </c>
    </row>
    <row r="119" spans="1:42" ht="15" customHeight="1" x14ac:dyDescent="0.2">
      <c r="A119" s="276" t="s">
        <v>587</v>
      </c>
      <c r="B119" s="277" t="s">
        <v>587</v>
      </c>
      <c r="C119" s="278" t="s">
        <v>588</v>
      </c>
      <c r="D119" s="279">
        <f>VLOOKUP(A119,[2]Template!$A$3:$G$133,7,FALSE)</f>
        <v>0</v>
      </c>
      <c r="E119" s="280">
        <f t="shared" si="86"/>
        <v>0</v>
      </c>
      <c r="F119" s="279"/>
      <c r="G119" s="281">
        <f t="shared" si="87"/>
        <v>0</v>
      </c>
      <c r="H119" s="279"/>
      <c r="I119" s="281">
        <f t="shared" si="88"/>
        <v>0</v>
      </c>
      <c r="J119" s="282">
        <f t="shared" si="89"/>
        <v>0</v>
      </c>
      <c r="K119" s="283"/>
      <c r="L119" s="284">
        <f>VLOOKUP($A119,'[3]21-22_4_Level 4'!$A$7:$F$139,6,FALSE)</f>
        <v>0</v>
      </c>
      <c r="M119" s="285"/>
      <c r="N119" s="279">
        <f>VLOOKUP($A119,'[4]Feb MFP_SCA'!$B$4:$K$124,10,FALSE)</f>
        <v>156</v>
      </c>
      <c r="O119" s="286">
        <f t="shared" si="90"/>
        <v>9204</v>
      </c>
      <c r="P119" s="281"/>
      <c r="Q119" s="286">
        <f t="shared" si="91"/>
        <v>9204</v>
      </c>
      <c r="R119" s="287">
        <f>VLOOKUP($A119,[5]MFP!$A$7:$E$139,4,FALSE)</f>
        <v>51.897058797000007</v>
      </c>
      <c r="S119" s="288">
        <f t="shared" si="92"/>
        <v>51897</v>
      </c>
      <c r="T119" s="288">
        <f t="shared" si="93"/>
        <v>13078</v>
      </c>
      <c r="U119" s="288">
        <f t="shared" si="94"/>
        <v>64975</v>
      </c>
      <c r="V119" s="287">
        <f>VLOOKUP($A119,[5]MFP!$A$7:$E$139,5,FALSE)</f>
        <v>13.553921562999999</v>
      </c>
      <c r="W119" s="288">
        <f t="shared" si="95"/>
        <v>6777</v>
      </c>
      <c r="X119" s="288">
        <f t="shared" si="96"/>
        <v>1945</v>
      </c>
      <c r="Y119" s="288">
        <f t="shared" si="97"/>
        <v>8722</v>
      </c>
      <c r="Z119" s="287">
        <f t="shared" si="98"/>
        <v>65.450980360000003</v>
      </c>
      <c r="AA119" s="288">
        <f t="shared" si="98"/>
        <v>58674</v>
      </c>
      <c r="AB119" s="288">
        <f t="shared" si="98"/>
        <v>15023</v>
      </c>
      <c r="AC119" s="289">
        <f t="shared" si="98"/>
        <v>73697</v>
      </c>
      <c r="AD119" s="287">
        <f>VLOOKUP($A119,[5]MFP!$A$7:$E$139,4,FALSE)</f>
        <v>51.897058797000007</v>
      </c>
      <c r="AE119" s="288">
        <f t="shared" si="99"/>
        <v>41518</v>
      </c>
      <c r="AF119" s="288">
        <f t="shared" si="100"/>
        <v>10463</v>
      </c>
      <c r="AG119" s="288">
        <f t="shared" si="101"/>
        <v>51981</v>
      </c>
      <c r="AH119" s="287">
        <f>VLOOKUP($A119,[5]MFP!$A$7:$E$139,5,FALSE)</f>
        <v>13.553921562999999</v>
      </c>
      <c r="AI119" s="288">
        <f t="shared" si="102"/>
        <v>5422</v>
      </c>
      <c r="AJ119" s="288">
        <f t="shared" si="103"/>
        <v>1556</v>
      </c>
      <c r="AK119" s="288">
        <f t="shared" si="104"/>
        <v>6978</v>
      </c>
      <c r="AL119" s="287">
        <f t="shared" si="105"/>
        <v>65.450980360000003</v>
      </c>
      <c r="AM119" s="288">
        <f t="shared" si="105"/>
        <v>46940</v>
      </c>
      <c r="AN119" s="288">
        <f t="shared" si="105"/>
        <v>12019</v>
      </c>
      <c r="AO119" s="290">
        <f t="shared" si="105"/>
        <v>58959</v>
      </c>
      <c r="AP119" s="291">
        <f t="shared" si="106"/>
        <v>141860</v>
      </c>
    </row>
    <row r="120" spans="1:42" ht="15" customHeight="1" x14ac:dyDescent="0.2">
      <c r="A120" s="243" t="s">
        <v>589</v>
      </c>
      <c r="B120" s="244" t="s">
        <v>589</v>
      </c>
      <c r="C120" s="245" t="s">
        <v>590</v>
      </c>
      <c r="D120" s="246">
        <f>VLOOKUP(A120,[2]Template!$A$3:$G$133,7,FALSE)</f>
        <v>0</v>
      </c>
      <c r="E120" s="247">
        <f t="shared" si="86"/>
        <v>0</v>
      </c>
      <c r="F120" s="246"/>
      <c r="G120" s="248">
        <f t="shared" si="87"/>
        <v>0</v>
      </c>
      <c r="H120" s="246"/>
      <c r="I120" s="248">
        <f t="shared" si="88"/>
        <v>0</v>
      </c>
      <c r="J120" s="249">
        <f t="shared" si="89"/>
        <v>0</v>
      </c>
      <c r="K120" s="250"/>
      <c r="L120" s="251">
        <f>VLOOKUP($A120,'[3]21-22_4_Level 4'!$A$7:$F$139,6,FALSE)</f>
        <v>16448</v>
      </c>
      <c r="M120" s="252"/>
      <c r="N120" s="246">
        <f>VLOOKUP($A120,'[4]Feb MFP_SCA'!$B$4:$K$124,10,FALSE)</f>
        <v>167</v>
      </c>
      <c r="O120" s="253">
        <f t="shared" si="90"/>
        <v>9853</v>
      </c>
      <c r="P120" s="248"/>
      <c r="Q120" s="253">
        <f t="shared" si="91"/>
        <v>9853</v>
      </c>
      <c r="R120" s="254">
        <f>VLOOKUP($A120,[5]MFP!$A$7:$E$139,4,FALSE)</f>
        <v>20.272727272723998</v>
      </c>
      <c r="S120" s="255">
        <f t="shared" si="92"/>
        <v>20273</v>
      </c>
      <c r="T120" s="255">
        <f t="shared" si="93"/>
        <v>5109</v>
      </c>
      <c r="U120" s="255">
        <f t="shared" si="94"/>
        <v>25382</v>
      </c>
      <c r="V120" s="254">
        <f>VLOOKUP($A120,[5]MFP!$A$7:$E$139,5,FALSE)</f>
        <v>23.616161615271</v>
      </c>
      <c r="W120" s="255">
        <f t="shared" si="95"/>
        <v>11808</v>
      </c>
      <c r="X120" s="255">
        <f t="shared" si="96"/>
        <v>3389</v>
      </c>
      <c r="Y120" s="255">
        <f t="shared" si="97"/>
        <v>15197</v>
      </c>
      <c r="Z120" s="254">
        <f t="shared" si="98"/>
        <v>43.888888887994995</v>
      </c>
      <c r="AA120" s="255">
        <f t="shared" si="98"/>
        <v>32081</v>
      </c>
      <c r="AB120" s="255">
        <f t="shared" si="98"/>
        <v>8498</v>
      </c>
      <c r="AC120" s="256">
        <f t="shared" si="98"/>
        <v>40579</v>
      </c>
      <c r="AD120" s="254">
        <f>VLOOKUP($A120,[5]MFP!$A$7:$E$139,4,FALSE)</f>
        <v>20.272727272723998</v>
      </c>
      <c r="AE120" s="255">
        <f t="shared" si="99"/>
        <v>16218</v>
      </c>
      <c r="AF120" s="255">
        <f t="shared" si="100"/>
        <v>4087</v>
      </c>
      <c r="AG120" s="255">
        <f t="shared" si="101"/>
        <v>20305</v>
      </c>
      <c r="AH120" s="254">
        <f>VLOOKUP($A120,[5]MFP!$A$7:$E$139,5,FALSE)</f>
        <v>23.616161615271</v>
      </c>
      <c r="AI120" s="255">
        <f t="shared" si="102"/>
        <v>9446</v>
      </c>
      <c r="AJ120" s="255">
        <f t="shared" si="103"/>
        <v>2711</v>
      </c>
      <c r="AK120" s="255">
        <f t="shared" si="104"/>
        <v>12157</v>
      </c>
      <c r="AL120" s="254">
        <f t="shared" si="105"/>
        <v>43.888888887994995</v>
      </c>
      <c r="AM120" s="255">
        <f t="shared" si="105"/>
        <v>25664</v>
      </c>
      <c r="AN120" s="255">
        <f t="shared" si="105"/>
        <v>6798</v>
      </c>
      <c r="AO120" s="257">
        <f t="shared" si="105"/>
        <v>32462</v>
      </c>
      <c r="AP120" s="258">
        <f t="shared" si="106"/>
        <v>99342</v>
      </c>
    </row>
    <row r="121" spans="1:42" ht="15" customHeight="1" x14ac:dyDescent="0.2">
      <c r="A121" s="275" t="s">
        <v>591</v>
      </c>
      <c r="B121" s="260" t="s">
        <v>591</v>
      </c>
      <c r="C121" s="261" t="s">
        <v>592</v>
      </c>
      <c r="D121" s="262">
        <f>VLOOKUP(A121,[2]Template!$A$3:$G$133,7,FALSE)</f>
        <v>0</v>
      </c>
      <c r="E121" s="263">
        <f t="shared" si="86"/>
        <v>0</v>
      </c>
      <c r="F121" s="262"/>
      <c r="G121" s="264">
        <f t="shared" si="87"/>
        <v>0</v>
      </c>
      <c r="H121" s="262"/>
      <c r="I121" s="264">
        <f t="shared" si="88"/>
        <v>0</v>
      </c>
      <c r="J121" s="265">
        <f t="shared" si="89"/>
        <v>0</v>
      </c>
      <c r="K121" s="266"/>
      <c r="L121" s="267">
        <f>VLOOKUP($A121,'[3]21-22_4_Level 4'!$A$7:$F$139,6,FALSE)</f>
        <v>0</v>
      </c>
      <c r="M121" s="268"/>
      <c r="N121" s="262">
        <f>VLOOKUP($A121,'[4]Feb MFP_SCA'!$B$4:$K$124,10,FALSE)</f>
        <v>135</v>
      </c>
      <c r="O121" s="269">
        <f t="shared" si="90"/>
        <v>7965</v>
      </c>
      <c r="P121" s="264"/>
      <c r="Q121" s="269">
        <f t="shared" si="91"/>
        <v>7965</v>
      </c>
      <c r="R121" s="270">
        <f>VLOOKUP($A121,[5]MFP!$A$7:$E$139,4,FALSE)</f>
        <v>55</v>
      </c>
      <c r="S121" s="271">
        <f t="shared" si="92"/>
        <v>55000</v>
      </c>
      <c r="T121" s="271">
        <f t="shared" si="93"/>
        <v>13860</v>
      </c>
      <c r="U121" s="271">
        <f t="shared" si="94"/>
        <v>68860</v>
      </c>
      <c r="V121" s="270">
        <f>VLOOKUP($A121,[5]MFP!$A$7:$E$139,5,FALSE)</f>
        <v>51.5</v>
      </c>
      <c r="W121" s="271">
        <f t="shared" si="95"/>
        <v>25750</v>
      </c>
      <c r="X121" s="271">
        <f t="shared" si="96"/>
        <v>7390</v>
      </c>
      <c r="Y121" s="271">
        <f t="shared" si="97"/>
        <v>33140</v>
      </c>
      <c r="Z121" s="270">
        <f t="shared" si="98"/>
        <v>106.5</v>
      </c>
      <c r="AA121" s="271">
        <f t="shared" si="98"/>
        <v>80750</v>
      </c>
      <c r="AB121" s="271">
        <f t="shared" si="98"/>
        <v>21250</v>
      </c>
      <c r="AC121" s="272">
        <f t="shared" si="98"/>
        <v>102000</v>
      </c>
      <c r="AD121" s="270">
        <f>VLOOKUP($A121,[5]MFP!$A$7:$E$139,4,FALSE)</f>
        <v>55</v>
      </c>
      <c r="AE121" s="271">
        <f t="shared" si="99"/>
        <v>44000</v>
      </c>
      <c r="AF121" s="271">
        <f t="shared" si="100"/>
        <v>11088</v>
      </c>
      <c r="AG121" s="271">
        <f t="shared" si="101"/>
        <v>55088</v>
      </c>
      <c r="AH121" s="270">
        <f>VLOOKUP($A121,[5]MFP!$A$7:$E$139,5,FALSE)</f>
        <v>51.5</v>
      </c>
      <c r="AI121" s="271">
        <f t="shared" si="102"/>
        <v>20600</v>
      </c>
      <c r="AJ121" s="271">
        <f t="shared" si="103"/>
        <v>5912</v>
      </c>
      <c r="AK121" s="271">
        <f t="shared" si="104"/>
        <v>26512</v>
      </c>
      <c r="AL121" s="270">
        <f t="shared" si="105"/>
        <v>106.5</v>
      </c>
      <c r="AM121" s="271">
        <f t="shared" si="105"/>
        <v>64600</v>
      </c>
      <c r="AN121" s="271">
        <f t="shared" si="105"/>
        <v>17000</v>
      </c>
      <c r="AO121" s="273">
        <f t="shared" si="105"/>
        <v>81600</v>
      </c>
      <c r="AP121" s="274">
        <f t="shared" si="106"/>
        <v>191565</v>
      </c>
    </row>
    <row r="122" spans="1:42" ht="15" customHeight="1" x14ac:dyDescent="0.2">
      <c r="A122" s="275" t="s">
        <v>593</v>
      </c>
      <c r="B122" s="260" t="s">
        <v>593</v>
      </c>
      <c r="C122" s="261" t="s">
        <v>594</v>
      </c>
      <c r="D122" s="262">
        <f>VLOOKUP(A122,[2]Template!$A$3:$G$133,7,FALSE)</f>
        <v>0</v>
      </c>
      <c r="E122" s="263">
        <f t="shared" si="86"/>
        <v>0</v>
      </c>
      <c r="F122" s="262"/>
      <c r="G122" s="264">
        <f t="shared" si="87"/>
        <v>0</v>
      </c>
      <c r="H122" s="262"/>
      <c r="I122" s="264">
        <f t="shared" si="88"/>
        <v>0</v>
      </c>
      <c r="J122" s="265">
        <f t="shared" si="89"/>
        <v>0</v>
      </c>
      <c r="K122" s="266"/>
      <c r="L122" s="267">
        <f>VLOOKUP($A122,'[3]21-22_4_Level 4'!$A$7:$F$139,6,FALSE)</f>
        <v>10000</v>
      </c>
      <c r="M122" s="268"/>
      <c r="N122" s="262">
        <f>VLOOKUP($A122,'[4]Feb MFP_SCA'!$B$4:$K$124,10,FALSE)</f>
        <v>170</v>
      </c>
      <c r="O122" s="269">
        <f t="shared" si="90"/>
        <v>10030</v>
      </c>
      <c r="P122" s="264"/>
      <c r="Q122" s="269">
        <f t="shared" si="91"/>
        <v>10030</v>
      </c>
      <c r="R122" s="270">
        <f>VLOOKUP($A122,[5]MFP!$A$7:$E$139,4,FALSE)</f>
        <v>24.556752159000002</v>
      </c>
      <c r="S122" s="271">
        <f t="shared" si="92"/>
        <v>24557</v>
      </c>
      <c r="T122" s="271">
        <f t="shared" si="93"/>
        <v>6188</v>
      </c>
      <c r="U122" s="271">
        <f t="shared" si="94"/>
        <v>30745</v>
      </c>
      <c r="V122" s="270">
        <f>VLOOKUP($A122,[5]MFP!$A$7:$E$139,5,FALSE)</f>
        <v>3</v>
      </c>
      <c r="W122" s="271">
        <f t="shared" si="95"/>
        <v>1500</v>
      </c>
      <c r="X122" s="271">
        <f t="shared" si="96"/>
        <v>431</v>
      </c>
      <c r="Y122" s="271">
        <f t="shared" si="97"/>
        <v>1931</v>
      </c>
      <c r="Z122" s="270">
        <f t="shared" si="98"/>
        <v>27.556752159000002</v>
      </c>
      <c r="AA122" s="271">
        <f t="shared" si="98"/>
        <v>26057</v>
      </c>
      <c r="AB122" s="271">
        <f t="shared" si="98"/>
        <v>6619</v>
      </c>
      <c r="AC122" s="272">
        <f t="shared" si="98"/>
        <v>32676</v>
      </c>
      <c r="AD122" s="270">
        <f>VLOOKUP($A122,[5]MFP!$A$7:$E$139,4,FALSE)</f>
        <v>24.556752159000002</v>
      </c>
      <c r="AE122" s="271">
        <f t="shared" si="99"/>
        <v>19645</v>
      </c>
      <c r="AF122" s="271">
        <f t="shared" si="100"/>
        <v>4951</v>
      </c>
      <c r="AG122" s="271">
        <f t="shared" si="101"/>
        <v>24596</v>
      </c>
      <c r="AH122" s="270">
        <f>VLOOKUP($A122,[5]MFP!$A$7:$E$139,5,FALSE)</f>
        <v>3</v>
      </c>
      <c r="AI122" s="271">
        <f t="shared" si="102"/>
        <v>1200</v>
      </c>
      <c r="AJ122" s="271">
        <f t="shared" si="103"/>
        <v>344</v>
      </c>
      <c r="AK122" s="271">
        <f t="shared" si="104"/>
        <v>1544</v>
      </c>
      <c r="AL122" s="270">
        <f t="shared" si="105"/>
        <v>27.556752159000002</v>
      </c>
      <c r="AM122" s="271">
        <f t="shared" si="105"/>
        <v>20845</v>
      </c>
      <c r="AN122" s="271">
        <f t="shared" si="105"/>
        <v>5295</v>
      </c>
      <c r="AO122" s="273">
        <f t="shared" si="105"/>
        <v>26140</v>
      </c>
      <c r="AP122" s="274">
        <f t="shared" si="106"/>
        <v>78846</v>
      </c>
    </row>
    <row r="123" spans="1:42" ht="15" customHeight="1" x14ac:dyDescent="0.2">
      <c r="A123" s="275" t="s">
        <v>595</v>
      </c>
      <c r="B123" s="260" t="s">
        <v>595</v>
      </c>
      <c r="C123" s="261" t="s">
        <v>596</v>
      </c>
      <c r="D123" s="262">
        <f>VLOOKUP(A123,[2]Template!$A$3:$G$133,7,FALSE)</f>
        <v>0</v>
      </c>
      <c r="E123" s="263">
        <f t="shared" si="86"/>
        <v>0</v>
      </c>
      <c r="F123" s="262"/>
      <c r="G123" s="264">
        <f t="shared" si="87"/>
        <v>0</v>
      </c>
      <c r="H123" s="262"/>
      <c r="I123" s="264">
        <f t="shared" si="88"/>
        <v>0</v>
      </c>
      <c r="J123" s="265">
        <f t="shared" si="89"/>
        <v>0</v>
      </c>
      <c r="K123" s="266"/>
      <c r="L123" s="267">
        <f>VLOOKUP($A123,'[3]21-22_4_Level 4'!$A$7:$F$139,6,FALSE)</f>
        <v>0</v>
      </c>
      <c r="M123" s="268"/>
      <c r="N123" s="262">
        <f>VLOOKUP($A123,'[4]Feb MFP_SCA'!$B$4:$K$124,10,FALSE)</f>
        <v>252</v>
      </c>
      <c r="O123" s="269">
        <f t="shared" si="90"/>
        <v>14868</v>
      </c>
      <c r="P123" s="264"/>
      <c r="Q123" s="269">
        <f t="shared" si="91"/>
        <v>14868</v>
      </c>
      <c r="R123" s="270">
        <f>VLOOKUP($A123,[5]MFP!$A$7:$E$139,4,FALSE)</f>
        <v>75.999999999999005</v>
      </c>
      <c r="S123" s="271">
        <f t="shared" si="92"/>
        <v>76000</v>
      </c>
      <c r="T123" s="271">
        <f t="shared" si="93"/>
        <v>19152</v>
      </c>
      <c r="U123" s="271">
        <f t="shared" si="94"/>
        <v>95152</v>
      </c>
      <c r="V123" s="270">
        <f>VLOOKUP($A123,[5]MFP!$A$7:$E$139,5,FALSE)</f>
        <v>39.992304139999</v>
      </c>
      <c r="W123" s="271">
        <f t="shared" si="95"/>
        <v>19996</v>
      </c>
      <c r="X123" s="271">
        <f t="shared" si="96"/>
        <v>5739</v>
      </c>
      <c r="Y123" s="271">
        <f t="shared" si="97"/>
        <v>25735</v>
      </c>
      <c r="Z123" s="270">
        <f t="shared" si="98"/>
        <v>115.992304139998</v>
      </c>
      <c r="AA123" s="271">
        <f t="shared" si="98"/>
        <v>95996</v>
      </c>
      <c r="AB123" s="271">
        <f t="shared" si="98"/>
        <v>24891</v>
      </c>
      <c r="AC123" s="272">
        <f t="shared" si="98"/>
        <v>120887</v>
      </c>
      <c r="AD123" s="270">
        <f>VLOOKUP($A123,[5]MFP!$A$7:$E$139,4,FALSE)</f>
        <v>75.999999999999005</v>
      </c>
      <c r="AE123" s="271">
        <f t="shared" si="99"/>
        <v>60800</v>
      </c>
      <c r="AF123" s="271">
        <f t="shared" si="100"/>
        <v>15322</v>
      </c>
      <c r="AG123" s="271">
        <f t="shared" si="101"/>
        <v>76122</v>
      </c>
      <c r="AH123" s="270">
        <f>VLOOKUP($A123,[5]MFP!$A$7:$E$139,5,FALSE)</f>
        <v>39.992304139999</v>
      </c>
      <c r="AI123" s="271">
        <f t="shared" si="102"/>
        <v>15997</v>
      </c>
      <c r="AJ123" s="271">
        <f t="shared" si="103"/>
        <v>4591</v>
      </c>
      <c r="AK123" s="271">
        <f t="shared" si="104"/>
        <v>20588</v>
      </c>
      <c r="AL123" s="270">
        <f t="shared" si="105"/>
        <v>115.992304139998</v>
      </c>
      <c r="AM123" s="271">
        <f t="shared" si="105"/>
        <v>76797</v>
      </c>
      <c r="AN123" s="271">
        <f t="shared" si="105"/>
        <v>19913</v>
      </c>
      <c r="AO123" s="273">
        <f t="shared" si="105"/>
        <v>96710</v>
      </c>
      <c r="AP123" s="274">
        <f t="shared" si="106"/>
        <v>232465</v>
      </c>
    </row>
    <row r="124" spans="1:42" ht="15" customHeight="1" x14ac:dyDescent="0.2">
      <c r="A124" s="276" t="s">
        <v>597</v>
      </c>
      <c r="B124" s="277" t="s">
        <v>597</v>
      </c>
      <c r="C124" s="278" t="s">
        <v>598</v>
      </c>
      <c r="D124" s="279">
        <v>0</v>
      </c>
      <c r="E124" s="280">
        <f t="shared" si="86"/>
        <v>0</v>
      </c>
      <c r="F124" s="279"/>
      <c r="G124" s="281">
        <f t="shared" si="87"/>
        <v>0</v>
      </c>
      <c r="H124" s="279"/>
      <c r="I124" s="281">
        <f t="shared" si="88"/>
        <v>0</v>
      </c>
      <c r="J124" s="282">
        <f t="shared" si="89"/>
        <v>0</v>
      </c>
      <c r="K124" s="283"/>
      <c r="L124" s="284">
        <f>VLOOKUP($A124,'[3]21-22_4_Level 4'!$A$7:$F$139,6,FALSE)</f>
        <v>16087</v>
      </c>
      <c r="M124" s="285"/>
      <c r="N124" s="279">
        <f>VLOOKUP($A124,'[4]Feb MFP_SCA'!$B$4:$K$124,10,FALSE)</f>
        <v>195</v>
      </c>
      <c r="O124" s="286">
        <f t="shared" si="90"/>
        <v>11505</v>
      </c>
      <c r="P124" s="281"/>
      <c r="Q124" s="286">
        <f t="shared" si="91"/>
        <v>11505</v>
      </c>
      <c r="R124" s="287">
        <f>VLOOKUP($A124,[5]MFP!$A$7:$E$139,4,FALSE)</f>
        <v>16.989583332000002</v>
      </c>
      <c r="S124" s="288">
        <f t="shared" si="92"/>
        <v>16990</v>
      </c>
      <c r="T124" s="288">
        <f t="shared" si="93"/>
        <v>4281</v>
      </c>
      <c r="U124" s="288">
        <f t="shared" si="94"/>
        <v>21271</v>
      </c>
      <c r="V124" s="287">
        <f>VLOOKUP($A124,[5]MFP!$A$7:$E$139,5,FALSE)</f>
        <v>4.9895833329999997</v>
      </c>
      <c r="W124" s="288">
        <f t="shared" si="95"/>
        <v>2495</v>
      </c>
      <c r="X124" s="288">
        <f t="shared" si="96"/>
        <v>716</v>
      </c>
      <c r="Y124" s="288">
        <f t="shared" si="97"/>
        <v>3211</v>
      </c>
      <c r="Z124" s="287">
        <f t="shared" si="98"/>
        <v>21.979166665000001</v>
      </c>
      <c r="AA124" s="288">
        <f t="shared" si="98"/>
        <v>19485</v>
      </c>
      <c r="AB124" s="288">
        <f t="shared" si="98"/>
        <v>4997</v>
      </c>
      <c r="AC124" s="289">
        <f t="shared" si="98"/>
        <v>24482</v>
      </c>
      <c r="AD124" s="287">
        <f>VLOOKUP($A124,[5]MFP!$A$7:$E$139,4,FALSE)</f>
        <v>16.989583332000002</v>
      </c>
      <c r="AE124" s="288">
        <f t="shared" si="99"/>
        <v>13592</v>
      </c>
      <c r="AF124" s="288">
        <f t="shared" si="100"/>
        <v>3425</v>
      </c>
      <c r="AG124" s="288">
        <f t="shared" si="101"/>
        <v>17017</v>
      </c>
      <c r="AH124" s="287">
        <f>VLOOKUP($A124,[5]MFP!$A$7:$E$139,5,FALSE)</f>
        <v>4.9895833329999997</v>
      </c>
      <c r="AI124" s="288">
        <f t="shared" si="102"/>
        <v>1996</v>
      </c>
      <c r="AJ124" s="288">
        <f t="shared" si="103"/>
        <v>573</v>
      </c>
      <c r="AK124" s="288">
        <f t="shared" si="104"/>
        <v>2569</v>
      </c>
      <c r="AL124" s="287">
        <f t="shared" si="105"/>
        <v>21.979166665000001</v>
      </c>
      <c r="AM124" s="288">
        <f t="shared" si="105"/>
        <v>15588</v>
      </c>
      <c r="AN124" s="288">
        <f t="shared" si="105"/>
        <v>3998</v>
      </c>
      <c r="AO124" s="290">
        <f t="shared" si="105"/>
        <v>19586</v>
      </c>
      <c r="AP124" s="291">
        <f t="shared" si="106"/>
        <v>71660</v>
      </c>
    </row>
    <row r="125" spans="1:42" ht="15" customHeight="1" x14ac:dyDescent="0.2">
      <c r="A125" s="243" t="s">
        <v>599</v>
      </c>
      <c r="B125" s="244" t="s">
        <v>599</v>
      </c>
      <c r="C125" s="245" t="s">
        <v>600</v>
      </c>
      <c r="D125" s="246">
        <v>0</v>
      </c>
      <c r="E125" s="247">
        <f t="shared" si="86"/>
        <v>0</v>
      </c>
      <c r="F125" s="246"/>
      <c r="G125" s="248">
        <f t="shared" si="87"/>
        <v>0</v>
      </c>
      <c r="H125" s="246"/>
      <c r="I125" s="248">
        <f t="shared" si="88"/>
        <v>0</v>
      </c>
      <c r="J125" s="249">
        <f t="shared" si="89"/>
        <v>0</v>
      </c>
      <c r="K125" s="250"/>
      <c r="L125" s="251">
        <f>VLOOKUP($A125,'[3]21-22_4_Level 4'!$A$7:$F$139,6,FALSE)</f>
        <v>10000</v>
      </c>
      <c r="M125" s="252"/>
      <c r="N125" s="246">
        <f>VLOOKUP($A125,'[4]Feb MFP_SCA'!$B$4:$K$124,10,FALSE)</f>
        <v>207</v>
      </c>
      <c r="O125" s="253">
        <f t="shared" si="90"/>
        <v>12213</v>
      </c>
      <c r="P125" s="248"/>
      <c r="Q125" s="253">
        <f t="shared" si="91"/>
        <v>12213</v>
      </c>
      <c r="R125" s="254">
        <f>VLOOKUP($A125,[5]MFP!$A$7:$E$139,4,FALSE)</f>
        <v>14.913194444</v>
      </c>
      <c r="S125" s="255">
        <f t="shared" si="92"/>
        <v>14913</v>
      </c>
      <c r="T125" s="255">
        <f t="shared" si="93"/>
        <v>3758</v>
      </c>
      <c r="U125" s="255">
        <f t="shared" si="94"/>
        <v>18671</v>
      </c>
      <c r="V125" s="254">
        <f>VLOOKUP($A125,[5]MFP!$A$7:$E$139,5,FALSE)</f>
        <v>13</v>
      </c>
      <c r="W125" s="255">
        <f t="shared" si="95"/>
        <v>6500</v>
      </c>
      <c r="X125" s="255">
        <f t="shared" si="96"/>
        <v>1866</v>
      </c>
      <c r="Y125" s="255">
        <f t="shared" si="97"/>
        <v>8366</v>
      </c>
      <c r="Z125" s="254">
        <f t="shared" si="98"/>
        <v>27.913194443999998</v>
      </c>
      <c r="AA125" s="255">
        <f t="shared" si="98"/>
        <v>21413</v>
      </c>
      <c r="AB125" s="255">
        <f t="shared" si="98"/>
        <v>5624</v>
      </c>
      <c r="AC125" s="256">
        <f t="shared" si="98"/>
        <v>27037</v>
      </c>
      <c r="AD125" s="254">
        <f>VLOOKUP($A125,[5]MFP!$A$7:$E$139,4,FALSE)</f>
        <v>14.913194444</v>
      </c>
      <c r="AE125" s="255">
        <f t="shared" si="99"/>
        <v>11931</v>
      </c>
      <c r="AF125" s="255">
        <f t="shared" si="100"/>
        <v>3007</v>
      </c>
      <c r="AG125" s="255">
        <f t="shared" si="101"/>
        <v>14938</v>
      </c>
      <c r="AH125" s="254">
        <f>VLOOKUP($A125,[5]MFP!$A$7:$E$139,5,FALSE)</f>
        <v>13</v>
      </c>
      <c r="AI125" s="255">
        <f t="shared" si="102"/>
        <v>5200</v>
      </c>
      <c r="AJ125" s="255">
        <f t="shared" si="103"/>
        <v>1492</v>
      </c>
      <c r="AK125" s="255">
        <f t="shared" si="104"/>
        <v>6692</v>
      </c>
      <c r="AL125" s="254">
        <f t="shared" si="105"/>
        <v>27.913194443999998</v>
      </c>
      <c r="AM125" s="255">
        <f t="shared" si="105"/>
        <v>17131</v>
      </c>
      <c r="AN125" s="255">
        <f t="shared" si="105"/>
        <v>4499</v>
      </c>
      <c r="AO125" s="257">
        <f t="shared" si="105"/>
        <v>21630</v>
      </c>
      <c r="AP125" s="258">
        <f t="shared" si="106"/>
        <v>70880</v>
      </c>
    </row>
    <row r="126" spans="1:42" ht="15" customHeight="1" x14ac:dyDescent="0.2">
      <c r="A126" s="275" t="s">
        <v>601</v>
      </c>
      <c r="B126" s="260" t="s">
        <v>601</v>
      </c>
      <c r="C126" s="261" t="s">
        <v>602</v>
      </c>
      <c r="D126" s="262">
        <f>VLOOKUP(A126,[2]Template!$A$3:$G$133,7,FALSE)</f>
        <v>0</v>
      </c>
      <c r="E126" s="263">
        <f t="shared" si="86"/>
        <v>0</v>
      </c>
      <c r="F126" s="262"/>
      <c r="G126" s="264">
        <f t="shared" si="87"/>
        <v>0</v>
      </c>
      <c r="H126" s="262"/>
      <c r="I126" s="264">
        <f t="shared" si="88"/>
        <v>0</v>
      </c>
      <c r="J126" s="265">
        <f t="shared" si="89"/>
        <v>0</v>
      </c>
      <c r="K126" s="266"/>
      <c r="L126" s="267">
        <f>VLOOKUP($A126,'[3]21-22_4_Level 4'!$A$7:$F$139,6,FALSE)</f>
        <v>10000</v>
      </c>
      <c r="M126" s="268"/>
      <c r="N126" s="262">
        <f>VLOOKUP($A126,'[4]Feb MFP_SCA'!$B$4:$K$124,10,FALSE)</f>
        <v>462</v>
      </c>
      <c r="O126" s="269">
        <f t="shared" si="90"/>
        <v>27258</v>
      </c>
      <c r="P126" s="264"/>
      <c r="Q126" s="269">
        <f t="shared" si="91"/>
        <v>27258</v>
      </c>
      <c r="R126" s="270">
        <f>VLOOKUP($A126,[5]MFP!$A$7:$E$139,4,FALSE)</f>
        <v>48</v>
      </c>
      <c r="S126" s="271">
        <f t="shared" si="92"/>
        <v>48000</v>
      </c>
      <c r="T126" s="271">
        <f t="shared" si="93"/>
        <v>12096</v>
      </c>
      <c r="U126" s="271">
        <f t="shared" si="94"/>
        <v>60096</v>
      </c>
      <c r="V126" s="270">
        <f>VLOOKUP($A126,[5]MFP!$A$7:$E$139,5,FALSE)</f>
        <v>16</v>
      </c>
      <c r="W126" s="271">
        <f t="shared" si="95"/>
        <v>8000</v>
      </c>
      <c r="X126" s="271">
        <f t="shared" si="96"/>
        <v>2296</v>
      </c>
      <c r="Y126" s="271">
        <f t="shared" si="97"/>
        <v>10296</v>
      </c>
      <c r="Z126" s="270">
        <f t="shared" si="98"/>
        <v>64</v>
      </c>
      <c r="AA126" s="271">
        <f t="shared" si="98"/>
        <v>56000</v>
      </c>
      <c r="AB126" s="271">
        <f t="shared" si="98"/>
        <v>14392</v>
      </c>
      <c r="AC126" s="272">
        <f t="shared" si="98"/>
        <v>70392</v>
      </c>
      <c r="AD126" s="270">
        <f>VLOOKUP($A126,[5]MFP!$A$7:$E$139,4,FALSE)</f>
        <v>48</v>
      </c>
      <c r="AE126" s="271">
        <f t="shared" si="99"/>
        <v>38400</v>
      </c>
      <c r="AF126" s="271">
        <f t="shared" si="100"/>
        <v>9677</v>
      </c>
      <c r="AG126" s="271">
        <f t="shared" si="101"/>
        <v>48077</v>
      </c>
      <c r="AH126" s="270">
        <f>VLOOKUP($A126,[5]MFP!$A$7:$E$139,5,FALSE)</f>
        <v>16</v>
      </c>
      <c r="AI126" s="271">
        <f t="shared" si="102"/>
        <v>6400</v>
      </c>
      <c r="AJ126" s="271">
        <f t="shared" si="103"/>
        <v>1837</v>
      </c>
      <c r="AK126" s="271">
        <f t="shared" si="104"/>
        <v>8237</v>
      </c>
      <c r="AL126" s="270">
        <f t="shared" si="105"/>
        <v>64</v>
      </c>
      <c r="AM126" s="271">
        <f t="shared" si="105"/>
        <v>44800</v>
      </c>
      <c r="AN126" s="271">
        <f t="shared" si="105"/>
        <v>11514</v>
      </c>
      <c r="AO126" s="273">
        <f t="shared" si="105"/>
        <v>56314</v>
      </c>
      <c r="AP126" s="274">
        <f t="shared" si="106"/>
        <v>163964</v>
      </c>
    </row>
    <row r="127" spans="1:42" ht="15" customHeight="1" x14ac:dyDescent="0.2">
      <c r="A127" s="275" t="s">
        <v>603</v>
      </c>
      <c r="B127" s="260" t="s">
        <v>603</v>
      </c>
      <c r="C127" s="261" t="s">
        <v>604</v>
      </c>
      <c r="D127" s="262">
        <f>VLOOKUP(A127,[2]Template!$A$3:$G$133,7,FALSE)</f>
        <v>0</v>
      </c>
      <c r="E127" s="263">
        <f t="shared" si="86"/>
        <v>0</v>
      </c>
      <c r="F127" s="262"/>
      <c r="G127" s="264">
        <f t="shared" si="87"/>
        <v>0</v>
      </c>
      <c r="H127" s="262"/>
      <c r="I127" s="264">
        <f t="shared" si="88"/>
        <v>0</v>
      </c>
      <c r="J127" s="265">
        <f t="shared" si="89"/>
        <v>0</v>
      </c>
      <c r="K127" s="266"/>
      <c r="L127" s="267">
        <f>VLOOKUP($A127,'[3]21-22_4_Level 4'!$A$7:$F$139,6,FALSE)</f>
        <v>0</v>
      </c>
      <c r="M127" s="268"/>
      <c r="N127" s="262">
        <f>VLOOKUP($A127,'[4]Feb MFP_SCA'!$B$4:$K$124,10,FALSE)</f>
        <v>131</v>
      </c>
      <c r="O127" s="269">
        <f t="shared" si="90"/>
        <v>7729</v>
      </c>
      <c r="P127" s="264"/>
      <c r="Q127" s="269">
        <f t="shared" si="91"/>
        <v>7729</v>
      </c>
      <c r="R127" s="270">
        <f>VLOOKUP($A127,[5]MFP!$A$7:$E$139,4,FALSE)</f>
        <v>46</v>
      </c>
      <c r="S127" s="271">
        <f t="shared" si="92"/>
        <v>46000</v>
      </c>
      <c r="T127" s="271">
        <f t="shared" si="93"/>
        <v>11592</v>
      </c>
      <c r="U127" s="271">
        <f t="shared" si="94"/>
        <v>57592</v>
      </c>
      <c r="V127" s="270">
        <f>VLOOKUP($A127,[5]MFP!$A$7:$E$139,5,FALSE)</f>
        <v>43.494791665999998</v>
      </c>
      <c r="W127" s="271">
        <f t="shared" si="95"/>
        <v>21747</v>
      </c>
      <c r="X127" s="271">
        <f t="shared" si="96"/>
        <v>6241</v>
      </c>
      <c r="Y127" s="271">
        <f t="shared" si="97"/>
        <v>27988</v>
      </c>
      <c r="Z127" s="270">
        <f t="shared" si="98"/>
        <v>89.494791665999998</v>
      </c>
      <c r="AA127" s="271">
        <f t="shared" si="98"/>
        <v>67747</v>
      </c>
      <c r="AB127" s="271">
        <f t="shared" si="98"/>
        <v>17833</v>
      </c>
      <c r="AC127" s="272">
        <f t="shared" si="98"/>
        <v>85580</v>
      </c>
      <c r="AD127" s="270">
        <f>VLOOKUP($A127,[5]MFP!$A$7:$E$139,4,FALSE)</f>
        <v>46</v>
      </c>
      <c r="AE127" s="271">
        <f t="shared" si="99"/>
        <v>36800</v>
      </c>
      <c r="AF127" s="271">
        <f t="shared" si="100"/>
        <v>9274</v>
      </c>
      <c r="AG127" s="271">
        <f t="shared" si="101"/>
        <v>46074</v>
      </c>
      <c r="AH127" s="270">
        <f>VLOOKUP($A127,[5]MFP!$A$7:$E$139,5,FALSE)</f>
        <v>43.494791665999998</v>
      </c>
      <c r="AI127" s="271">
        <f t="shared" si="102"/>
        <v>17398</v>
      </c>
      <c r="AJ127" s="271">
        <f t="shared" si="103"/>
        <v>4993</v>
      </c>
      <c r="AK127" s="271">
        <f t="shared" si="104"/>
        <v>22391</v>
      </c>
      <c r="AL127" s="270">
        <f t="shared" si="105"/>
        <v>89.494791665999998</v>
      </c>
      <c r="AM127" s="271">
        <f t="shared" si="105"/>
        <v>54198</v>
      </c>
      <c r="AN127" s="271">
        <f t="shared" si="105"/>
        <v>14267</v>
      </c>
      <c r="AO127" s="273">
        <f t="shared" si="105"/>
        <v>68465</v>
      </c>
      <c r="AP127" s="274">
        <f t="shared" si="106"/>
        <v>161774</v>
      </c>
    </row>
    <row r="128" spans="1:42" ht="15" customHeight="1" thickBot="1" x14ac:dyDescent="0.25">
      <c r="A128" s="317"/>
      <c r="B128" s="318"/>
      <c r="C128" s="319" t="s">
        <v>605</v>
      </c>
      <c r="D128" s="320">
        <f t="shared" ref="D128:AP128" si="107">SUM(D95:D127)</f>
        <v>42</v>
      </c>
      <c r="E128" s="321">
        <f t="shared" si="107"/>
        <v>882000</v>
      </c>
      <c r="F128" s="320">
        <f t="shared" si="107"/>
        <v>0</v>
      </c>
      <c r="G128" s="322">
        <f t="shared" si="107"/>
        <v>0</v>
      </c>
      <c r="H128" s="320">
        <f t="shared" si="107"/>
        <v>0</v>
      </c>
      <c r="I128" s="322">
        <f t="shared" si="107"/>
        <v>0</v>
      </c>
      <c r="J128" s="323">
        <f t="shared" si="107"/>
        <v>0</v>
      </c>
      <c r="K128" s="324">
        <f t="shared" si="107"/>
        <v>0</v>
      </c>
      <c r="L128" s="325">
        <f t="shared" si="107"/>
        <v>411370</v>
      </c>
      <c r="M128" s="326">
        <f t="shared" si="107"/>
        <v>0</v>
      </c>
      <c r="N128" s="320">
        <f t="shared" si="107"/>
        <v>10460</v>
      </c>
      <c r="O128" s="327">
        <f t="shared" si="107"/>
        <v>617140</v>
      </c>
      <c r="P128" s="322">
        <f t="shared" si="107"/>
        <v>0</v>
      </c>
      <c r="Q128" s="327">
        <f t="shared" si="107"/>
        <v>617140</v>
      </c>
      <c r="R128" s="328">
        <f t="shared" si="107"/>
        <v>1563.330958016702</v>
      </c>
      <c r="S128" s="329">
        <f t="shared" si="107"/>
        <v>1563333</v>
      </c>
      <c r="T128" s="329">
        <f t="shared" si="107"/>
        <v>393959</v>
      </c>
      <c r="U128" s="329">
        <f t="shared" si="107"/>
        <v>1957292</v>
      </c>
      <c r="V128" s="328">
        <f t="shared" si="107"/>
        <v>647.61353647053591</v>
      </c>
      <c r="W128" s="329">
        <f t="shared" si="107"/>
        <v>323805</v>
      </c>
      <c r="X128" s="329">
        <f t="shared" si="107"/>
        <v>92933</v>
      </c>
      <c r="Y128" s="329">
        <f t="shared" si="107"/>
        <v>416738</v>
      </c>
      <c r="Z128" s="328">
        <f t="shared" si="107"/>
        <v>2210.9444944872375</v>
      </c>
      <c r="AA128" s="329">
        <f t="shared" si="107"/>
        <v>1887138</v>
      </c>
      <c r="AB128" s="329">
        <f t="shared" si="107"/>
        <v>486892</v>
      </c>
      <c r="AC128" s="330">
        <f t="shared" si="107"/>
        <v>2374030</v>
      </c>
      <c r="AD128" s="328">
        <f t="shared" si="107"/>
        <v>1563.330958016702</v>
      </c>
      <c r="AE128" s="329">
        <f t="shared" si="107"/>
        <v>1250666</v>
      </c>
      <c r="AF128" s="329">
        <f t="shared" si="107"/>
        <v>315169</v>
      </c>
      <c r="AG128" s="329">
        <f t="shared" si="107"/>
        <v>1565835</v>
      </c>
      <c r="AH128" s="328">
        <f t="shared" si="107"/>
        <v>647.61353647053591</v>
      </c>
      <c r="AI128" s="329">
        <f t="shared" si="107"/>
        <v>259047</v>
      </c>
      <c r="AJ128" s="329">
        <f t="shared" si="107"/>
        <v>74346</v>
      </c>
      <c r="AK128" s="329">
        <f t="shared" si="107"/>
        <v>333393</v>
      </c>
      <c r="AL128" s="328">
        <f t="shared" si="107"/>
        <v>2210.9444944872375</v>
      </c>
      <c r="AM128" s="329">
        <f t="shared" si="107"/>
        <v>1509713</v>
      </c>
      <c r="AN128" s="329">
        <f t="shared" si="107"/>
        <v>389515</v>
      </c>
      <c r="AO128" s="331">
        <f t="shared" si="107"/>
        <v>1899228</v>
      </c>
      <c r="AP128" s="332">
        <f t="shared" si="107"/>
        <v>6183768</v>
      </c>
    </row>
    <row r="129" spans="1:42" s="333" customFormat="1" ht="6.75" customHeight="1" thickTop="1" x14ac:dyDescent="0.2">
      <c r="A129" s="334"/>
      <c r="B129" s="335"/>
      <c r="C129" s="351"/>
      <c r="D129" s="337"/>
      <c r="E129" s="339"/>
      <c r="F129" s="348"/>
      <c r="G129" s="339"/>
      <c r="H129" s="349"/>
      <c r="I129" s="339"/>
      <c r="J129" s="339"/>
      <c r="K129" s="350"/>
      <c r="L129" s="339"/>
      <c r="M129" s="339"/>
      <c r="N129" s="337"/>
      <c r="O129" s="338"/>
      <c r="P129" s="339"/>
      <c r="Q129" s="338"/>
      <c r="R129" s="342"/>
      <c r="S129" s="343"/>
      <c r="T129" s="343"/>
      <c r="U129" s="343"/>
      <c r="V129" s="342"/>
      <c r="W129" s="343"/>
      <c r="X129" s="343"/>
      <c r="Y129" s="343"/>
      <c r="Z129" s="342"/>
      <c r="AA129" s="343"/>
      <c r="AB129" s="343"/>
      <c r="AC129" s="339"/>
      <c r="AD129" s="342"/>
      <c r="AE129" s="343"/>
      <c r="AF129" s="343"/>
      <c r="AG129" s="343"/>
      <c r="AH129" s="342"/>
      <c r="AI129" s="343"/>
      <c r="AJ129" s="343"/>
      <c r="AK129" s="343"/>
      <c r="AL129" s="342"/>
      <c r="AM129" s="343"/>
      <c r="AN129" s="343"/>
      <c r="AO129" s="343"/>
      <c r="AP129" s="338"/>
    </row>
    <row r="130" spans="1:42" ht="15" customHeight="1" x14ac:dyDescent="0.2">
      <c r="A130" s="243">
        <v>396211</v>
      </c>
      <c r="B130" s="244">
        <v>396211</v>
      </c>
      <c r="C130" s="245" t="s">
        <v>606</v>
      </c>
      <c r="D130" s="246">
        <f>VLOOKUP(A130,[2]Template!$A$3:$G$133,7,FALSE)</f>
        <v>0</v>
      </c>
      <c r="E130" s="247">
        <f t="shared" ref="E130:E136" si="108">ROUND($E$3*D130,0)</f>
        <v>0</v>
      </c>
      <c r="F130" s="246"/>
      <c r="G130" s="248">
        <f t="shared" ref="G130:G136" si="109">ROUND($G$3*F130,0)</f>
        <v>0</v>
      </c>
      <c r="H130" s="246"/>
      <c r="I130" s="248">
        <f t="shared" ref="I130:I136" si="110">ROUND($I$3*H130,0)</f>
        <v>0</v>
      </c>
      <c r="J130" s="249">
        <f t="shared" ref="J130:J136" si="111">G130+I130</f>
        <v>0</v>
      </c>
      <c r="K130" s="250"/>
      <c r="L130" s="251">
        <f>VLOOKUP($A130,'[3]21-22_4_Level 4'!$A$7:$F$139,6,FALSE)</f>
        <v>0</v>
      </c>
      <c r="M130" s="252"/>
      <c r="N130" s="246">
        <f>VLOOKUP($A130,'[4]Feb MFP_SCA'!$B$4:$K$124,10,FALSE)</f>
        <v>195</v>
      </c>
      <c r="O130" s="253">
        <f t="shared" ref="O130:O136" si="112">N130*$O$3</f>
        <v>11505</v>
      </c>
      <c r="P130" s="248"/>
      <c r="Q130" s="253">
        <f t="shared" ref="Q130:Q136" si="113">O130+P130</f>
        <v>11505</v>
      </c>
      <c r="R130" s="254">
        <f>VLOOKUP($A130,[5]MFP!$A$7:$E$139,4,FALSE)</f>
        <v>71.779487179333003</v>
      </c>
      <c r="S130" s="255">
        <f t="shared" ref="S130:S136" si="114">ROUND(R130*$S$3,0)</f>
        <v>71779</v>
      </c>
      <c r="T130" s="255">
        <f t="shared" ref="T130:T136" si="115">ROUND(S130*$T$3,0)</f>
        <v>18088</v>
      </c>
      <c r="U130" s="255">
        <f t="shared" ref="U130:U136" si="116">S130+T130</f>
        <v>89867</v>
      </c>
      <c r="V130" s="254">
        <f>VLOOKUP($A130,[5]MFP!$A$7:$E$139,5,FALSE)</f>
        <v>68.166666666666003</v>
      </c>
      <c r="W130" s="255">
        <f t="shared" ref="W130:W136" si="117">ROUND(V130*$W$3,0)</f>
        <v>34083</v>
      </c>
      <c r="X130" s="255">
        <f t="shared" ref="X130:X136" si="118">ROUND(W130*$X$3,0)</f>
        <v>9782</v>
      </c>
      <c r="Y130" s="255">
        <f t="shared" ref="Y130:Y136" si="119">W130+X130</f>
        <v>43865</v>
      </c>
      <c r="Z130" s="254">
        <f t="shared" ref="Z130:AC136" si="120">R130+V130</f>
        <v>139.94615384599899</v>
      </c>
      <c r="AA130" s="255">
        <f t="shared" si="120"/>
        <v>105862</v>
      </c>
      <c r="AB130" s="255">
        <f t="shared" si="120"/>
        <v>27870</v>
      </c>
      <c r="AC130" s="256">
        <f t="shared" si="120"/>
        <v>133732</v>
      </c>
      <c r="AD130" s="254">
        <f>VLOOKUP($A130,[5]MFP!$A$7:$E$139,4,FALSE)</f>
        <v>71.779487179333003</v>
      </c>
      <c r="AE130" s="255">
        <f t="shared" ref="AE130:AE136" si="121">ROUND(AD130*$AE$3,0)</f>
        <v>57424</v>
      </c>
      <c r="AF130" s="255">
        <f t="shared" ref="AF130:AF136" si="122">ROUND(AE130*$AF$3,0)</f>
        <v>14471</v>
      </c>
      <c r="AG130" s="255">
        <f t="shared" ref="AG130:AG136" si="123">AE130+AF130</f>
        <v>71895</v>
      </c>
      <c r="AH130" s="254">
        <f>VLOOKUP($A130,[5]MFP!$A$7:$E$139,5,FALSE)</f>
        <v>68.166666666666003</v>
      </c>
      <c r="AI130" s="255">
        <f t="shared" ref="AI130:AI136" si="124">ROUND(AH130*$AI$3,0)</f>
        <v>27267</v>
      </c>
      <c r="AJ130" s="255">
        <f t="shared" ref="AJ130:AJ136" si="125">ROUND(AI130*$AJ$3,0)</f>
        <v>7826</v>
      </c>
      <c r="AK130" s="255">
        <f t="shared" ref="AK130:AK136" si="126">AI130+AJ130</f>
        <v>35093</v>
      </c>
      <c r="AL130" s="254">
        <f t="shared" ref="AL130:AO136" si="127">AD130+AH130</f>
        <v>139.94615384599899</v>
      </c>
      <c r="AM130" s="255">
        <f t="shared" si="127"/>
        <v>84691</v>
      </c>
      <c r="AN130" s="255">
        <f t="shared" si="127"/>
        <v>22297</v>
      </c>
      <c r="AO130" s="257">
        <f t="shared" si="127"/>
        <v>106988</v>
      </c>
      <c r="AP130" s="258">
        <f t="shared" ref="AP130:AP136" si="128">E130+J130+L130+M130+Q130+AC130+AO130</f>
        <v>252225</v>
      </c>
    </row>
    <row r="131" spans="1:42" ht="15" customHeight="1" x14ac:dyDescent="0.2">
      <c r="A131" s="275" t="s">
        <v>607</v>
      </c>
      <c r="B131" s="260" t="s">
        <v>607</v>
      </c>
      <c r="C131" s="261" t="s">
        <v>608</v>
      </c>
      <c r="D131" s="262">
        <v>0</v>
      </c>
      <c r="E131" s="263">
        <f t="shared" si="108"/>
        <v>0</v>
      </c>
      <c r="F131" s="262"/>
      <c r="G131" s="264">
        <f t="shared" si="109"/>
        <v>0</v>
      </c>
      <c r="H131" s="262"/>
      <c r="I131" s="264">
        <f t="shared" si="110"/>
        <v>0</v>
      </c>
      <c r="J131" s="265">
        <f t="shared" si="111"/>
        <v>0</v>
      </c>
      <c r="K131" s="266"/>
      <c r="L131" s="267">
        <f>VLOOKUP($A131,'[3]21-22_4_Level 4'!$A$7:$F$139,6,FALSE)</f>
        <v>41573</v>
      </c>
      <c r="M131" s="268"/>
      <c r="N131" s="262">
        <f>VLOOKUP($A131,'[4]Feb MFP_SCA'!$B$4:$K$124,10,FALSE)</f>
        <v>337</v>
      </c>
      <c r="O131" s="269">
        <f t="shared" si="112"/>
        <v>19883</v>
      </c>
      <c r="P131" s="264"/>
      <c r="Q131" s="269">
        <f t="shared" si="113"/>
        <v>19883</v>
      </c>
      <c r="R131" s="270">
        <f>VLOOKUP($A131,[5]MFP!$A$7:$E$139,4,FALSE)</f>
        <v>28</v>
      </c>
      <c r="S131" s="271">
        <f t="shared" si="114"/>
        <v>28000</v>
      </c>
      <c r="T131" s="271">
        <f t="shared" si="115"/>
        <v>7056</v>
      </c>
      <c r="U131" s="271">
        <f t="shared" si="116"/>
        <v>35056</v>
      </c>
      <c r="V131" s="270">
        <f>VLOOKUP($A131,[5]MFP!$A$7:$E$139,5,FALSE)</f>
        <v>5</v>
      </c>
      <c r="W131" s="271">
        <f t="shared" si="117"/>
        <v>2500</v>
      </c>
      <c r="X131" s="271">
        <f t="shared" si="118"/>
        <v>718</v>
      </c>
      <c r="Y131" s="271">
        <f t="shared" si="119"/>
        <v>3218</v>
      </c>
      <c r="Z131" s="270">
        <f t="shared" si="120"/>
        <v>33</v>
      </c>
      <c r="AA131" s="271">
        <f t="shared" si="120"/>
        <v>30500</v>
      </c>
      <c r="AB131" s="271">
        <f t="shared" si="120"/>
        <v>7774</v>
      </c>
      <c r="AC131" s="272">
        <f t="shared" si="120"/>
        <v>38274</v>
      </c>
      <c r="AD131" s="270">
        <f>VLOOKUP($A131,[5]MFP!$A$7:$E$139,4,FALSE)</f>
        <v>28</v>
      </c>
      <c r="AE131" s="271">
        <f t="shared" si="121"/>
        <v>22400</v>
      </c>
      <c r="AF131" s="271">
        <f t="shared" si="122"/>
        <v>5645</v>
      </c>
      <c r="AG131" s="271">
        <f t="shared" si="123"/>
        <v>28045</v>
      </c>
      <c r="AH131" s="270">
        <f>VLOOKUP($A131,[5]MFP!$A$7:$E$139,5,FALSE)</f>
        <v>5</v>
      </c>
      <c r="AI131" s="271">
        <f t="shared" si="124"/>
        <v>2000</v>
      </c>
      <c r="AJ131" s="271">
        <f t="shared" si="125"/>
        <v>574</v>
      </c>
      <c r="AK131" s="271">
        <f t="shared" si="126"/>
        <v>2574</v>
      </c>
      <c r="AL131" s="270">
        <f t="shared" si="127"/>
        <v>33</v>
      </c>
      <c r="AM131" s="271">
        <f t="shared" si="127"/>
        <v>24400</v>
      </c>
      <c r="AN131" s="271">
        <f t="shared" si="127"/>
        <v>6219</v>
      </c>
      <c r="AO131" s="273">
        <f t="shared" si="127"/>
        <v>30619</v>
      </c>
      <c r="AP131" s="274">
        <f t="shared" si="128"/>
        <v>130349</v>
      </c>
    </row>
    <row r="132" spans="1:42" ht="15" customHeight="1" x14ac:dyDescent="0.2">
      <c r="A132" s="275" t="s">
        <v>609</v>
      </c>
      <c r="B132" s="260" t="s">
        <v>610</v>
      </c>
      <c r="C132" s="261" t="s">
        <v>611</v>
      </c>
      <c r="D132" s="262">
        <f>VLOOKUP(A132,[2]Template!$A$3:$G$133,7,FALSE)</f>
        <v>0</v>
      </c>
      <c r="E132" s="263">
        <f t="shared" si="108"/>
        <v>0</v>
      </c>
      <c r="F132" s="262"/>
      <c r="G132" s="264">
        <f t="shared" si="109"/>
        <v>0</v>
      </c>
      <c r="H132" s="262"/>
      <c r="I132" s="264">
        <f t="shared" si="110"/>
        <v>0</v>
      </c>
      <c r="J132" s="265">
        <f t="shared" si="111"/>
        <v>0</v>
      </c>
      <c r="K132" s="266"/>
      <c r="L132" s="267">
        <f>VLOOKUP($A132,'[3]21-22_4_Level 4'!$A$7:$F$139,6,FALSE)</f>
        <v>0</v>
      </c>
      <c r="M132" s="268"/>
      <c r="N132" s="262">
        <f>VLOOKUP($A132,'[4]Feb MFP_SCA'!$B$4:$K$124,10,FALSE)</f>
        <v>0</v>
      </c>
      <c r="O132" s="269">
        <f t="shared" si="112"/>
        <v>0</v>
      </c>
      <c r="P132" s="264"/>
      <c r="Q132" s="269">
        <f t="shared" si="113"/>
        <v>0</v>
      </c>
      <c r="R132" s="270">
        <f>VLOOKUP($A132,[5]MFP!$A$7:$E$139,4,FALSE)</f>
        <v>14.666666666666</v>
      </c>
      <c r="S132" s="271">
        <f t="shared" si="114"/>
        <v>14667</v>
      </c>
      <c r="T132" s="271">
        <f t="shared" si="115"/>
        <v>3696</v>
      </c>
      <c r="U132" s="271">
        <f t="shared" si="116"/>
        <v>18363</v>
      </c>
      <c r="V132" s="270">
        <f>VLOOKUP($A132,[5]MFP!$A$7:$E$139,5,FALSE)</f>
        <v>8.333333333333</v>
      </c>
      <c r="W132" s="271">
        <f t="shared" si="117"/>
        <v>4167</v>
      </c>
      <c r="X132" s="271">
        <f t="shared" si="118"/>
        <v>1196</v>
      </c>
      <c r="Y132" s="271">
        <f t="shared" si="119"/>
        <v>5363</v>
      </c>
      <c r="Z132" s="270">
        <f t="shared" si="120"/>
        <v>22.999999999998998</v>
      </c>
      <c r="AA132" s="271">
        <f t="shared" si="120"/>
        <v>18834</v>
      </c>
      <c r="AB132" s="271">
        <f t="shared" si="120"/>
        <v>4892</v>
      </c>
      <c r="AC132" s="272">
        <f t="shared" si="120"/>
        <v>23726</v>
      </c>
      <c r="AD132" s="270">
        <f>VLOOKUP($A132,[5]MFP!$A$7:$E$139,4,FALSE)</f>
        <v>14.666666666666</v>
      </c>
      <c r="AE132" s="271">
        <f t="shared" si="121"/>
        <v>11733</v>
      </c>
      <c r="AF132" s="271">
        <f t="shared" si="122"/>
        <v>2957</v>
      </c>
      <c r="AG132" s="271">
        <f t="shared" si="123"/>
        <v>14690</v>
      </c>
      <c r="AH132" s="270">
        <f>VLOOKUP($A132,[5]MFP!$A$7:$E$139,5,FALSE)</f>
        <v>8.333333333333</v>
      </c>
      <c r="AI132" s="271">
        <f t="shared" si="124"/>
        <v>3333</v>
      </c>
      <c r="AJ132" s="271">
        <f t="shared" si="125"/>
        <v>957</v>
      </c>
      <c r="AK132" s="271">
        <f t="shared" si="126"/>
        <v>4290</v>
      </c>
      <c r="AL132" s="270">
        <f t="shared" si="127"/>
        <v>22.999999999998998</v>
      </c>
      <c r="AM132" s="271">
        <f t="shared" si="127"/>
        <v>15066</v>
      </c>
      <c r="AN132" s="271">
        <f t="shared" si="127"/>
        <v>3914</v>
      </c>
      <c r="AO132" s="273">
        <f t="shared" si="127"/>
        <v>18980</v>
      </c>
      <c r="AP132" s="274">
        <f t="shared" si="128"/>
        <v>42706</v>
      </c>
    </row>
    <row r="133" spans="1:42" ht="15" customHeight="1" x14ac:dyDescent="0.2">
      <c r="A133" s="275" t="s">
        <v>612</v>
      </c>
      <c r="B133" s="260" t="s">
        <v>613</v>
      </c>
      <c r="C133" s="261" t="s">
        <v>614</v>
      </c>
      <c r="D133" s="262">
        <f>VLOOKUP(A133,[2]Template!$A$3:$G$133,7,FALSE)</f>
        <v>0</v>
      </c>
      <c r="E133" s="263">
        <f t="shared" si="108"/>
        <v>0</v>
      </c>
      <c r="F133" s="262"/>
      <c r="G133" s="264">
        <f t="shared" si="109"/>
        <v>0</v>
      </c>
      <c r="H133" s="262"/>
      <c r="I133" s="264">
        <f t="shared" si="110"/>
        <v>0</v>
      </c>
      <c r="J133" s="265">
        <f t="shared" si="111"/>
        <v>0</v>
      </c>
      <c r="K133" s="266"/>
      <c r="L133" s="267">
        <f>VLOOKUP($A133,'[3]21-22_4_Level 4'!$A$7:$F$139,6,FALSE)</f>
        <v>0</v>
      </c>
      <c r="M133" s="268"/>
      <c r="N133" s="262">
        <f>VLOOKUP($A133,'[4]Feb MFP_SCA'!$B$4:$K$124,10,FALSE)</f>
        <v>0</v>
      </c>
      <c r="O133" s="269">
        <f t="shared" si="112"/>
        <v>0</v>
      </c>
      <c r="P133" s="264"/>
      <c r="Q133" s="269">
        <f t="shared" si="113"/>
        <v>0</v>
      </c>
      <c r="R133" s="270">
        <f>VLOOKUP($A133,[5]MFP!$A$7:$E$139,4,FALSE)</f>
        <v>15.666666666666</v>
      </c>
      <c r="S133" s="271">
        <f t="shared" si="114"/>
        <v>15667</v>
      </c>
      <c r="T133" s="271">
        <f t="shared" si="115"/>
        <v>3948</v>
      </c>
      <c r="U133" s="271">
        <f t="shared" si="116"/>
        <v>19615</v>
      </c>
      <c r="V133" s="270">
        <f>VLOOKUP($A133,[5]MFP!$A$7:$E$139,5,FALSE)</f>
        <v>9.333333333333</v>
      </c>
      <c r="W133" s="271">
        <f t="shared" si="117"/>
        <v>4667</v>
      </c>
      <c r="X133" s="271">
        <f t="shared" si="118"/>
        <v>1339</v>
      </c>
      <c r="Y133" s="271">
        <f t="shared" si="119"/>
        <v>6006</v>
      </c>
      <c r="Z133" s="270">
        <f t="shared" si="120"/>
        <v>24.999999999998998</v>
      </c>
      <c r="AA133" s="271">
        <f t="shared" si="120"/>
        <v>20334</v>
      </c>
      <c r="AB133" s="271">
        <f t="shared" si="120"/>
        <v>5287</v>
      </c>
      <c r="AC133" s="272">
        <f t="shared" si="120"/>
        <v>25621</v>
      </c>
      <c r="AD133" s="270">
        <f>VLOOKUP($A133,[5]MFP!$A$7:$E$139,4,FALSE)</f>
        <v>15.666666666666</v>
      </c>
      <c r="AE133" s="271">
        <f t="shared" si="121"/>
        <v>12533</v>
      </c>
      <c r="AF133" s="271">
        <f t="shared" si="122"/>
        <v>3158</v>
      </c>
      <c r="AG133" s="271">
        <f t="shared" si="123"/>
        <v>15691</v>
      </c>
      <c r="AH133" s="270">
        <f>VLOOKUP($A133,[5]MFP!$A$7:$E$139,5,FALSE)</f>
        <v>9.333333333333</v>
      </c>
      <c r="AI133" s="271">
        <f t="shared" si="124"/>
        <v>3733</v>
      </c>
      <c r="AJ133" s="271">
        <f t="shared" si="125"/>
        <v>1071</v>
      </c>
      <c r="AK133" s="271">
        <f t="shared" si="126"/>
        <v>4804</v>
      </c>
      <c r="AL133" s="270">
        <f t="shared" si="127"/>
        <v>24.999999999998998</v>
      </c>
      <c r="AM133" s="271">
        <f t="shared" si="127"/>
        <v>16266</v>
      </c>
      <c r="AN133" s="271">
        <f t="shared" si="127"/>
        <v>4229</v>
      </c>
      <c r="AO133" s="273">
        <f t="shared" si="127"/>
        <v>20495</v>
      </c>
      <c r="AP133" s="274">
        <f t="shared" si="128"/>
        <v>46116</v>
      </c>
    </row>
    <row r="134" spans="1:42" ht="15" customHeight="1" x14ac:dyDescent="0.2">
      <c r="A134" s="276" t="s">
        <v>615</v>
      </c>
      <c r="B134" s="277" t="s">
        <v>615</v>
      </c>
      <c r="C134" s="278" t="s">
        <v>616</v>
      </c>
      <c r="D134" s="279">
        <f>VLOOKUP(A134,[2]Template!$A$3:$G$133,7,FALSE)</f>
        <v>0</v>
      </c>
      <c r="E134" s="280">
        <f t="shared" si="108"/>
        <v>0</v>
      </c>
      <c r="F134" s="279"/>
      <c r="G134" s="281">
        <f t="shared" si="109"/>
        <v>0</v>
      </c>
      <c r="H134" s="279"/>
      <c r="I134" s="281">
        <f t="shared" si="110"/>
        <v>0</v>
      </c>
      <c r="J134" s="282">
        <f t="shared" si="111"/>
        <v>0</v>
      </c>
      <c r="K134" s="283"/>
      <c r="L134" s="284">
        <f>VLOOKUP($A134,'[3]21-22_4_Level 4'!$A$7:$F$139,6,FALSE)</f>
        <v>0</v>
      </c>
      <c r="M134" s="285"/>
      <c r="N134" s="279">
        <f>VLOOKUP($A134,'[4]Feb MFP_SCA'!$B$4:$K$124,10,FALSE)</f>
        <v>118</v>
      </c>
      <c r="O134" s="286">
        <f t="shared" si="112"/>
        <v>6962</v>
      </c>
      <c r="P134" s="281"/>
      <c r="Q134" s="286">
        <f t="shared" si="113"/>
        <v>6962</v>
      </c>
      <c r="R134" s="287">
        <f>VLOOKUP($A134,[5]MFP!$A$7:$E$139,4,FALSE)</f>
        <v>36.953086419000002</v>
      </c>
      <c r="S134" s="288">
        <f t="shared" si="114"/>
        <v>36953</v>
      </c>
      <c r="T134" s="288">
        <f t="shared" si="115"/>
        <v>9312</v>
      </c>
      <c r="U134" s="288">
        <f t="shared" si="116"/>
        <v>46265</v>
      </c>
      <c r="V134" s="287">
        <f>VLOOKUP($A134,[5]MFP!$A$7:$E$139,5,FALSE)</f>
        <v>12</v>
      </c>
      <c r="W134" s="288">
        <f t="shared" si="117"/>
        <v>6000</v>
      </c>
      <c r="X134" s="288">
        <f t="shared" si="118"/>
        <v>1722</v>
      </c>
      <c r="Y134" s="288">
        <f t="shared" si="119"/>
        <v>7722</v>
      </c>
      <c r="Z134" s="287">
        <f t="shared" si="120"/>
        <v>48.953086419000002</v>
      </c>
      <c r="AA134" s="288">
        <f t="shared" si="120"/>
        <v>42953</v>
      </c>
      <c r="AB134" s="288">
        <f t="shared" si="120"/>
        <v>11034</v>
      </c>
      <c r="AC134" s="289">
        <f t="shared" si="120"/>
        <v>53987</v>
      </c>
      <c r="AD134" s="287">
        <f>VLOOKUP($A134,[5]MFP!$A$7:$E$139,4,FALSE)</f>
        <v>36.953086419000002</v>
      </c>
      <c r="AE134" s="288">
        <f t="shared" si="121"/>
        <v>29562</v>
      </c>
      <c r="AF134" s="288">
        <f t="shared" si="122"/>
        <v>7450</v>
      </c>
      <c r="AG134" s="288">
        <f t="shared" si="123"/>
        <v>37012</v>
      </c>
      <c r="AH134" s="287">
        <f>VLOOKUP($A134,[5]MFP!$A$7:$E$139,5,FALSE)</f>
        <v>12</v>
      </c>
      <c r="AI134" s="288">
        <f t="shared" si="124"/>
        <v>4800</v>
      </c>
      <c r="AJ134" s="288">
        <f t="shared" si="125"/>
        <v>1378</v>
      </c>
      <c r="AK134" s="288">
        <f t="shared" si="126"/>
        <v>6178</v>
      </c>
      <c r="AL134" s="287">
        <f t="shared" si="127"/>
        <v>48.953086419000002</v>
      </c>
      <c r="AM134" s="288">
        <f t="shared" si="127"/>
        <v>34362</v>
      </c>
      <c r="AN134" s="288">
        <f t="shared" si="127"/>
        <v>8828</v>
      </c>
      <c r="AO134" s="290">
        <f t="shared" si="127"/>
        <v>43190</v>
      </c>
      <c r="AP134" s="291">
        <f t="shared" si="128"/>
        <v>104139</v>
      </c>
    </row>
    <row r="135" spans="1:42" ht="15" customHeight="1" x14ac:dyDescent="0.2">
      <c r="A135" s="275" t="s">
        <v>617</v>
      </c>
      <c r="B135" s="260">
        <v>389002</v>
      </c>
      <c r="C135" s="261" t="s">
        <v>618</v>
      </c>
      <c r="D135" s="262">
        <f>VLOOKUP(A135,[2]Template!$A$3:$G$133,7,FALSE)</f>
        <v>0</v>
      </c>
      <c r="E135" s="263">
        <f t="shared" si="108"/>
        <v>0</v>
      </c>
      <c r="F135" s="262"/>
      <c r="G135" s="264">
        <f t="shared" si="109"/>
        <v>0</v>
      </c>
      <c r="H135" s="262"/>
      <c r="I135" s="264">
        <f t="shared" si="110"/>
        <v>0</v>
      </c>
      <c r="J135" s="265">
        <f t="shared" si="111"/>
        <v>0</v>
      </c>
      <c r="K135" s="266"/>
      <c r="L135" s="267">
        <f>VLOOKUP($A135,'[3]21-22_4_Level 4'!$A$7:$F$139,6,FALSE)</f>
        <v>0</v>
      </c>
      <c r="M135" s="268"/>
      <c r="N135" s="262">
        <f>VLOOKUP($A135,'[4]Feb MFP_SCA'!$B$4:$K$124,10,FALSE)</f>
        <v>279</v>
      </c>
      <c r="O135" s="269">
        <f t="shared" si="112"/>
        <v>16461</v>
      </c>
      <c r="P135" s="264"/>
      <c r="Q135" s="269">
        <f t="shared" si="113"/>
        <v>16461</v>
      </c>
      <c r="R135" s="270">
        <f>VLOOKUP($A135,[5]MFP!$A$7:$E$139,4,FALSE)</f>
        <v>35.948979590999997</v>
      </c>
      <c r="S135" s="271">
        <f t="shared" si="114"/>
        <v>35949</v>
      </c>
      <c r="T135" s="271">
        <f t="shared" si="115"/>
        <v>9059</v>
      </c>
      <c r="U135" s="271">
        <f t="shared" si="116"/>
        <v>45008</v>
      </c>
      <c r="V135" s="270">
        <f>VLOOKUP($A135,[5]MFP!$A$7:$E$139,5,FALSE)</f>
        <v>14.111559139000001</v>
      </c>
      <c r="W135" s="271">
        <f t="shared" si="117"/>
        <v>7056</v>
      </c>
      <c r="X135" s="271">
        <f t="shared" si="118"/>
        <v>2025</v>
      </c>
      <c r="Y135" s="271">
        <f t="shared" si="119"/>
        <v>9081</v>
      </c>
      <c r="Z135" s="270">
        <f t="shared" si="120"/>
        <v>50.060538729999998</v>
      </c>
      <c r="AA135" s="271">
        <f t="shared" si="120"/>
        <v>43005</v>
      </c>
      <c r="AB135" s="271">
        <f t="shared" si="120"/>
        <v>11084</v>
      </c>
      <c r="AC135" s="272">
        <f t="shared" si="120"/>
        <v>54089</v>
      </c>
      <c r="AD135" s="270">
        <f>VLOOKUP($A135,[5]MFP!$A$7:$E$139,4,FALSE)</f>
        <v>35.948979590999997</v>
      </c>
      <c r="AE135" s="271">
        <f t="shared" si="121"/>
        <v>28759</v>
      </c>
      <c r="AF135" s="271">
        <f t="shared" si="122"/>
        <v>7247</v>
      </c>
      <c r="AG135" s="271">
        <f t="shared" si="123"/>
        <v>36006</v>
      </c>
      <c r="AH135" s="270">
        <f>VLOOKUP($A135,[5]MFP!$A$7:$E$139,5,FALSE)</f>
        <v>14.111559139000001</v>
      </c>
      <c r="AI135" s="271">
        <f t="shared" si="124"/>
        <v>5645</v>
      </c>
      <c r="AJ135" s="271">
        <f t="shared" si="125"/>
        <v>1620</v>
      </c>
      <c r="AK135" s="271">
        <f t="shared" si="126"/>
        <v>7265</v>
      </c>
      <c r="AL135" s="270">
        <f t="shared" si="127"/>
        <v>50.060538729999998</v>
      </c>
      <c r="AM135" s="271">
        <f t="shared" si="127"/>
        <v>34404</v>
      </c>
      <c r="AN135" s="271">
        <f t="shared" si="127"/>
        <v>8867</v>
      </c>
      <c r="AO135" s="273">
        <f t="shared" si="127"/>
        <v>43271</v>
      </c>
      <c r="AP135" s="274">
        <f t="shared" si="128"/>
        <v>113821</v>
      </c>
    </row>
    <row r="136" spans="1:42" ht="15" customHeight="1" x14ac:dyDescent="0.2">
      <c r="A136" s="276" t="s">
        <v>619</v>
      </c>
      <c r="B136" s="277" t="s">
        <v>620</v>
      </c>
      <c r="C136" s="278" t="s">
        <v>621</v>
      </c>
      <c r="D136" s="279">
        <v>0</v>
      </c>
      <c r="E136" s="280">
        <f t="shared" si="108"/>
        <v>0</v>
      </c>
      <c r="F136" s="279"/>
      <c r="G136" s="281">
        <f t="shared" si="109"/>
        <v>0</v>
      </c>
      <c r="H136" s="279"/>
      <c r="I136" s="281">
        <f t="shared" si="110"/>
        <v>0</v>
      </c>
      <c r="J136" s="282">
        <f t="shared" si="111"/>
        <v>0</v>
      </c>
      <c r="K136" s="283"/>
      <c r="L136" s="284">
        <f>VLOOKUP($A136,'[3]21-22_4_Level 4'!$A$7:$F$139,6,FALSE)</f>
        <v>0</v>
      </c>
      <c r="M136" s="285"/>
      <c r="N136" s="279">
        <f>VLOOKUP($A136,'[4]Feb MFP_SCA'!$B$4:$K$124,10,FALSE)</f>
        <v>154</v>
      </c>
      <c r="O136" s="286">
        <f t="shared" si="112"/>
        <v>9086</v>
      </c>
      <c r="P136" s="281"/>
      <c r="Q136" s="286">
        <f t="shared" si="113"/>
        <v>9086</v>
      </c>
      <c r="R136" s="287">
        <f>VLOOKUP($A136,[5]MFP!$A$7:$E$139,4,FALSE)</f>
        <v>13.666666666666</v>
      </c>
      <c r="S136" s="288">
        <f t="shared" si="114"/>
        <v>13667</v>
      </c>
      <c r="T136" s="288">
        <f t="shared" si="115"/>
        <v>3444</v>
      </c>
      <c r="U136" s="288">
        <f t="shared" si="116"/>
        <v>17111</v>
      </c>
      <c r="V136" s="287">
        <f>VLOOKUP($A136,[5]MFP!$A$7:$E$139,5,FALSE)</f>
        <v>9.333333333333</v>
      </c>
      <c r="W136" s="288">
        <f t="shared" si="117"/>
        <v>4667</v>
      </c>
      <c r="X136" s="288">
        <f t="shared" si="118"/>
        <v>1339</v>
      </c>
      <c r="Y136" s="288">
        <f t="shared" si="119"/>
        <v>6006</v>
      </c>
      <c r="Z136" s="287">
        <f t="shared" si="120"/>
        <v>22.999999999998998</v>
      </c>
      <c r="AA136" s="288">
        <f t="shared" si="120"/>
        <v>18334</v>
      </c>
      <c r="AB136" s="288">
        <f t="shared" si="120"/>
        <v>4783</v>
      </c>
      <c r="AC136" s="289">
        <f t="shared" si="120"/>
        <v>23117</v>
      </c>
      <c r="AD136" s="287">
        <f>VLOOKUP($A136,[5]MFP!$A$7:$E$139,4,FALSE)</f>
        <v>13.666666666666</v>
      </c>
      <c r="AE136" s="288">
        <f t="shared" si="121"/>
        <v>10933</v>
      </c>
      <c r="AF136" s="288">
        <f t="shared" si="122"/>
        <v>2755</v>
      </c>
      <c r="AG136" s="288">
        <f t="shared" si="123"/>
        <v>13688</v>
      </c>
      <c r="AH136" s="287">
        <f>VLOOKUP($A136,[5]MFP!$A$7:$E$139,5,FALSE)</f>
        <v>9.333333333333</v>
      </c>
      <c r="AI136" s="288">
        <f t="shared" si="124"/>
        <v>3733</v>
      </c>
      <c r="AJ136" s="288">
        <f t="shared" si="125"/>
        <v>1071</v>
      </c>
      <c r="AK136" s="288">
        <f t="shared" si="126"/>
        <v>4804</v>
      </c>
      <c r="AL136" s="287">
        <f t="shared" si="127"/>
        <v>22.999999999998998</v>
      </c>
      <c r="AM136" s="288">
        <f t="shared" si="127"/>
        <v>14666</v>
      </c>
      <c r="AN136" s="288">
        <f t="shared" si="127"/>
        <v>3826</v>
      </c>
      <c r="AO136" s="290">
        <f t="shared" si="127"/>
        <v>18492</v>
      </c>
      <c r="AP136" s="291">
        <f t="shared" si="128"/>
        <v>50695</v>
      </c>
    </row>
    <row r="137" spans="1:42" ht="15" customHeight="1" thickBot="1" x14ac:dyDescent="0.25">
      <c r="A137" s="317"/>
      <c r="B137" s="318"/>
      <c r="C137" s="319" t="s">
        <v>622</v>
      </c>
      <c r="D137" s="320">
        <f t="shared" ref="D137:AP137" si="129">SUM(D130:D136)</f>
        <v>0</v>
      </c>
      <c r="E137" s="321">
        <f t="shared" si="129"/>
        <v>0</v>
      </c>
      <c r="F137" s="320">
        <f t="shared" si="129"/>
        <v>0</v>
      </c>
      <c r="G137" s="322">
        <f t="shared" si="129"/>
        <v>0</v>
      </c>
      <c r="H137" s="320">
        <f t="shared" si="129"/>
        <v>0</v>
      </c>
      <c r="I137" s="322">
        <f t="shared" si="129"/>
        <v>0</v>
      </c>
      <c r="J137" s="323">
        <f t="shared" si="129"/>
        <v>0</v>
      </c>
      <c r="K137" s="324">
        <f t="shared" si="129"/>
        <v>0</v>
      </c>
      <c r="L137" s="325">
        <f>SUM(L130:L136)</f>
        <v>41573</v>
      </c>
      <c r="M137" s="326">
        <f t="shared" si="129"/>
        <v>0</v>
      </c>
      <c r="N137" s="320">
        <f t="shared" si="129"/>
        <v>1083</v>
      </c>
      <c r="O137" s="327">
        <f t="shared" si="129"/>
        <v>63897</v>
      </c>
      <c r="P137" s="322">
        <f t="shared" si="129"/>
        <v>0</v>
      </c>
      <c r="Q137" s="327">
        <f t="shared" si="129"/>
        <v>63897</v>
      </c>
      <c r="R137" s="328">
        <f t="shared" si="129"/>
        <v>216.681553189331</v>
      </c>
      <c r="S137" s="329">
        <f t="shared" si="129"/>
        <v>216682</v>
      </c>
      <c r="T137" s="329">
        <f t="shared" si="129"/>
        <v>54603</v>
      </c>
      <c r="U137" s="329">
        <f t="shared" si="129"/>
        <v>271285</v>
      </c>
      <c r="V137" s="328">
        <f t="shared" si="129"/>
        <v>126.27822580566502</v>
      </c>
      <c r="W137" s="329">
        <f t="shared" si="129"/>
        <v>63140</v>
      </c>
      <c r="X137" s="329">
        <f t="shared" si="129"/>
        <v>18121</v>
      </c>
      <c r="Y137" s="329">
        <f t="shared" si="129"/>
        <v>81261</v>
      </c>
      <c r="Z137" s="328">
        <f t="shared" si="129"/>
        <v>342.95977899499599</v>
      </c>
      <c r="AA137" s="329">
        <f t="shared" si="129"/>
        <v>279822</v>
      </c>
      <c r="AB137" s="329">
        <f t="shared" si="129"/>
        <v>72724</v>
      </c>
      <c r="AC137" s="330">
        <f t="shared" si="129"/>
        <v>352546</v>
      </c>
      <c r="AD137" s="328">
        <f t="shared" si="129"/>
        <v>216.681553189331</v>
      </c>
      <c r="AE137" s="329">
        <f t="shared" si="129"/>
        <v>173344</v>
      </c>
      <c r="AF137" s="329">
        <f t="shared" si="129"/>
        <v>43683</v>
      </c>
      <c r="AG137" s="329">
        <f t="shared" si="129"/>
        <v>217027</v>
      </c>
      <c r="AH137" s="328">
        <f t="shared" si="129"/>
        <v>126.27822580566502</v>
      </c>
      <c r="AI137" s="329">
        <f t="shared" si="129"/>
        <v>50511</v>
      </c>
      <c r="AJ137" s="329">
        <f t="shared" si="129"/>
        <v>14497</v>
      </c>
      <c r="AK137" s="329">
        <f t="shared" si="129"/>
        <v>65008</v>
      </c>
      <c r="AL137" s="328">
        <f t="shared" si="129"/>
        <v>342.95977899499599</v>
      </c>
      <c r="AM137" s="329">
        <f t="shared" si="129"/>
        <v>223855</v>
      </c>
      <c r="AN137" s="329">
        <f t="shared" si="129"/>
        <v>58180</v>
      </c>
      <c r="AO137" s="331">
        <f t="shared" si="129"/>
        <v>282035</v>
      </c>
      <c r="AP137" s="332">
        <f t="shared" si="129"/>
        <v>740051</v>
      </c>
    </row>
    <row r="138" spans="1:42" s="333" customFormat="1" ht="6.75" customHeight="1" thickTop="1" x14ac:dyDescent="0.2">
      <c r="A138" s="352"/>
      <c r="B138" s="353"/>
      <c r="C138" s="354"/>
      <c r="D138" s="355"/>
      <c r="E138" s="356"/>
      <c r="F138" s="355"/>
      <c r="G138" s="356"/>
      <c r="H138" s="357"/>
      <c r="I138" s="356"/>
      <c r="J138" s="356"/>
      <c r="K138" s="358"/>
      <c r="L138" s="356"/>
      <c r="M138" s="356"/>
      <c r="N138" s="359"/>
      <c r="O138" s="356"/>
      <c r="P138" s="356"/>
      <c r="Q138" s="356"/>
      <c r="R138" s="360"/>
      <c r="S138" s="361"/>
      <c r="T138" s="361"/>
      <c r="U138" s="361"/>
      <c r="V138" s="360"/>
      <c r="W138" s="361"/>
      <c r="X138" s="361"/>
      <c r="Y138" s="361"/>
      <c r="Z138" s="360"/>
      <c r="AA138" s="361"/>
      <c r="AB138" s="361"/>
      <c r="AC138" s="356"/>
      <c r="AD138" s="360"/>
      <c r="AE138" s="361"/>
      <c r="AF138" s="361"/>
      <c r="AG138" s="361"/>
      <c r="AH138" s="360"/>
      <c r="AI138" s="361"/>
      <c r="AJ138" s="361"/>
      <c r="AK138" s="361"/>
      <c r="AL138" s="360"/>
      <c r="AM138" s="361"/>
      <c r="AN138" s="361"/>
      <c r="AO138" s="361"/>
      <c r="AP138" s="362"/>
    </row>
    <row r="139" spans="1:42" ht="15" customHeight="1" thickBot="1" x14ac:dyDescent="0.25">
      <c r="A139" s="317"/>
      <c r="B139" s="318"/>
      <c r="C139" s="319" t="s">
        <v>623</v>
      </c>
      <c r="D139" s="320">
        <f t="shared" ref="D139:AP139" si="130">D76+D84+D93+D128+D137</f>
        <v>245</v>
      </c>
      <c r="E139" s="321">
        <f t="shared" si="130"/>
        <v>5145000</v>
      </c>
      <c r="F139" s="320">
        <f t="shared" si="130"/>
        <v>0</v>
      </c>
      <c r="G139" s="322">
        <f t="shared" si="130"/>
        <v>0</v>
      </c>
      <c r="H139" s="320">
        <f t="shared" si="130"/>
        <v>0</v>
      </c>
      <c r="I139" s="322">
        <f t="shared" si="130"/>
        <v>0</v>
      </c>
      <c r="J139" s="323">
        <f t="shared" si="130"/>
        <v>0</v>
      </c>
      <c r="K139" s="324">
        <f t="shared" si="130"/>
        <v>0</v>
      </c>
      <c r="L139" s="325">
        <f t="shared" si="130"/>
        <v>15960804</v>
      </c>
      <c r="M139" s="326">
        <f t="shared" si="130"/>
        <v>0</v>
      </c>
      <c r="N139" s="320">
        <f t="shared" si="130"/>
        <v>305297</v>
      </c>
      <c r="O139" s="327">
        <f t="shared" si="130"/>
        <v>18012523</v>
      </c>
      <c r="P139" s="322">
        <f t="shared" si="130"/>
        <v>0</v>
      </c>
      <c r="Q139" s="327">
        <f t="shared" si="130"/>
        <v>18012523</v>
      </c>
      <c r="R139" s="328">
        <f t="shared" si="130"/>
        <v>59724.829938783791</v>
      </c>
      <c r="S139" s="329">
        <f t="shared" si="130"/>
        <v>59724831</v>
      </c>
      <c r="T139" s="329">
        <f t="shared" si="130"/>
        <v>15050655</v>
      </c>
      <c r="U139" s="329">
        <f t="shared" si="130"/>
        <v>74775486</v>
      </c>
      <c r="V139" s="328">
        <f t="shared" si="130"/>
        <v>38225.231265322058</v>
      </c>
      <c r="W139" s="329">
        <f t="shared" si="130"/>
        <v>19112614</v>
      </c>
      <c r="X139" s="329">
        <f t="shared" si="130"/>
        <v>5485329</v>
      </c>
      <c r="Y139" s="329">
        <f t="shared" si="130"/>
        <v>24597943</v>
      </c>
      <c r="Z139" s="328">
        <f t="shared" si="130"/>
        <v>97950.061204105834</v>
      </c>
      <c r="AA139" s="329">
        <f t="shared" si="130"/>
        <v>78837445</v>
      </c>
      <c r="AB139" s="329">
        <f t="shared" si="130"/>
        <v>20535984</v>
      </c>
      <c r="AC139" s="330">
        <f t="shared" si="130"/>
        <v>99373429</v>
      </c>
      <c r="AD139" s="328">
        <f t="shared" si="130"/>
        <v>59724.829938783791</v>
      </c>
      <c r="AE139" s="329">
        <f t="shared" si="130"/>
        <v>47779863</v>
      </c>
      <c r="AF139" s="329">
        <f t="shared" si="130"/>
        <v>12040528</v>
      </c>
      <c r="AG139" s="329">
        <f t="shared" si="130"/>
        <v>59820391</v>
      </c>
      <c r="AH139" s="328">
        <f t="shared" si="130"/>
        <v>38225.231265322058</v>
      </c>
      <c r="AI139" s="329">
        <f t="shared" si="130"/>
        <v>15290096</v>
      </c>
      <c r="AJ139" s="329">
        <f t="shared" si="130"/>
        <v>4388254</v>
      </c>
      <c r="AK139" s="329">
        <f t="shared" si="130"/>
        <v>19678350</v>
      </c>
      <c r="AL139" s="328">
        <f t="shared" si="130"/>
        <v>97950.061204105834</v>
      </c>
      <c r="AM139" s="329">
        <f t="shared" si="130"/>
        <v>63069959</v>
      </c>
      <c r="AN139" s="329">
        <f t="shared" si="130"/>
        <v>16428782</v>
      </c>
      <c r="AO139" s="331">
        <f t="shared" si="130"/>
        <v>79498741</v>
      </c>
      <c r="AP139" s="332">
        <f t="shared" si="130"/>
        <v>217990497</v>
      </c>
    </row>
    <row r="140" spans="1:42" ht="13.5" thickTop="1" x14ac:dyDescent="0.2"/>
  </sheetData>
  <sheetProtection password="D893" sheet="1" objects="1" scenarios="1"/>
  <mergeCells count="29">
    <mergeCell ref="R1:Y1"/>
    <mergeCell ref="Z1:AC1"/>
    <mergeCell ref="AD1:AK1"/>
    <mergeCell ref="AL1:AO1"/>
    <mergeCell ref="AP1:AP3"/>
    <mergeCell ref="AK2:AK3"/>
    <mergeCell ref="AM2:AM3"/>
    <mergeCell ref="AN2:AN3"/>
    <mergeCell ref="AO2:AO3"/>
    <mergeCell ref="U2:U3"/>
    <mergeCell ref="Y2:Y3"/>
    <mergeCell ref="AA2:AA3"/>
    <mergeCell ref="AB2:AB3"/>
    <mergeCell ref="AC2:AC3"/>
    <mergeCell ref="AG2:AG3"/>
    <mergeCell ref="N1:Q1"/>
    <mergeCell ref="N2:N3"/>
    <mergeCell ref="P2:P3"/>
    <mergeCell ref="Q2:Q3"/>
    <mergeCell ref="A1:C3"/>
    <mergeCell ref="D1:E1"/>
    <mergeCell ref="F1:J1"/>
    <mergeCell ref="K1:L1"/>
    <mergeCell ref="M1:M2"/>
    <mergeCell ref="D2:D3"/>
    <mergeCell ref="F2:F3"/>
    <mergeCell ref="H2:H3"/>
    <mergeCell ref="J2:J3"/>
    <mergeCell ref="K2:K3"/>
  </mergeCells>
  <conditionalFormatting sqref="N135:N137">
    <cfRule type="cellIs" dxfId="67" priority="15" operator="between">
      <formula>0.1</formula>
      <formula>10</formula>
    </cfRule>
  </conditionalFormatting>
  <conditionalFormatting sqref="N128 N7:N41 N83:N99 N43:N77">
    <cfRule type="cellIs" dxfId="66" priority="17" operator="between">
      <formula>0.1</formula>
      <formula>10</formula>
    </cfRule>
  </conditionalFormatting>
  <conditionalFormatting sqref="N129">
    <cfRule type="cellIs" dxfId="65" priority="16" operator="between">
      <formula>0.1</formula>
      <formula>10</formula>
    </cfRule>
  </conditionalFormatting>
  <conditionalFormatting sqref="N78:N82">
    <cfRule type="cellIs" dxfId="64" priority="14" operator="between">
      <formula>0.1</formula>
      <formula>10</formula>
    </cfRule>
  </conditionalFormatting>
  <conditionalFormatting sqref="N105:N109">
    <cfRule type="cellIs" dxfId="63" priority="12" operator="between">
      <formula>0.1</formula>
      <formula>10</formula>
    </cfRule>
  </conditionalFormatting>
  <conditionalFormatting sqref="N100:N104">
    <cfRule type="cellIs" dxfId="62" priority="13" operator="between">
      <formula>0.1</formula>
      <formula>10</formula>
    </cfRule>
  </conditionalFormatting>
  <conditionalFormatting sqref="N110:N114">
    <cfRule type="cellIs" dxfId="61" priority="11" operator="between">
      <formula>0.1</formula>
      <formula>10</formula>
    </cfRule>
  </conditionalFormatting>
  <conditionalFormatting sqref="N115:N119">
    <cfRule type="cellIs" dxfId="60" priority="10" operator="between">
      <formula>0.1</formula>
      <formula>10</formula>
    </cfRule>
  </conditionalFormatting>
  <conditionalFormatting sqref="N120:N124">
    <cfRule type="cellIs" dxfId="59" priority="9" operator="between">
      <formula>0.1</formula>
      <formula>10</formula>
    </cfRule>
  </conditionalFormatting>
  <conditionalFormatting sqref="N125:N127">
    <cfRule type="cellIs" dxfId="58" priority="8" operator="between">
      <formula>0.1</formula>
      <formula>10</formula>
    </cfRule>
  </conditionalFormatting>
  <conditionalFormatting sqref="N130:N134">
    <cfRule type="cellIs" dxfId="57" priority="6" operator="between">
      <formula>0.1</formula>
      <formula>10</formula>
    </cfRule>
  </conditionalFormatting>
  <conditionalFormatting sqref="N42">
    <cfRule type="cellIs" dxfId="56" priority="4" operator="between">
      <formula>0.1</formula>
      <formula>10</formula>
    </cfRule>
  </conditionalFormatting>
  <printOptions horizontalCentered="1"/>
  <pageMargins left="0.25" right="0.25" top="1" bottom="0.5" header="0.35" footer="0.35"/>
  <pageSetup paperSize="5" scale="70" firstPageNumber="35" fitToHeight="0" orientation="portrait" r:id="rId1"/>
  <headerFooter alignWithMargins="0">
    <oddHeader>&amp;L&amp;"Arial,Bold"&amp;18&amp;K000000Table 4: FY2021-22 Budget Letter
Level 4 Supplementary Allocations July 2021</oddHeader>
    <oddFooter>&amp;R&amp;P</oddFooter>
  </headerFooter>
  <rowBreaks count="1" manualBreakCount="1">
    <brk id="77" max="41" man="1"/>
  </rowBreaks>
  <colBreaks count="5" manualBreakCount="5">
    <brk id="10" max="1048575" man="1"/>
    <brk id="17" max="214" man="1"/>
    <brk id="25" max="214" man="1"/>
    <brk id="29" max="214" man="1"/>
    <brk id="37" max="2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7.7109375" style="2" bestFit="1" customWidth="1"/>
    <col min="2" max="2" width="20.140625" style="2" customWidth="1"/>
    <col min="3" max="3" width="13.28515625" style="2" customWidth="1"/>
    <col min="4" max="5" width="14.42578125" style="2" customWidth="1"/>
    <col min="6" max="6" width="13.28515625" style="2" customWidth="1"/>
    <col min="7" max="8" width="14.42578125" style="2" customWidth="1"/>
    <col min="9" max="11" width="15.140625" style="2" customWidth="1"/>
    <col min="12" max="14" width="14.42578125" style="2" customWidth="1"/>
    <col min="15" max="18" width="14.85546875" style="2" customWidth="1"/>
    <col min="19" max="19" width="17.28515625" style="2" customWidth="1"/>
    <col min="20" max="21" width="13.5703125" style="2" customWidth="1"/>
    <col min="22" max="22" width="12.28515625" style="2" customWidth="1"/>
    <col min="23" max="25" width="14.85546875" style="2" customWidth="1"/>
    <col min="26" max="26" width="17.28515625" style="2" customWidth="1"/>
    <col min="27" max="16384" width="8.85546875" style="2"/>
  </cols>
  <sheetData>
    <row r="1" spans="1:26" ht="23.45" customHeight="1" x14ac:dyDescent="0.2">
      <c r="A1" s="1005" t="s">
        <v>624</v>
      </c>
      <c r="B1" s="1005"/>
      <c r="C1" s="1006" t="s">
        <v>625</v>
      </c>
      <c r="D1" s="1006"/>
      <c r="E1" s="1006"/>
      <c r="F1" s="1006"/>
      <c r="G1" s="1006"/>
      <c r="H1" s="1006"/>
      <c r="I1" s="1006"/>
      <c r="J1" s="1006"/>
      <c r="K1" s="1006"/>
      <c r="L1" s="1006"/>
      <c r="M1" s="1006"/>
      <c r="N1" s="1007"/>
      <c r="O1" s="1008" t="s">
        <v>625</v>
      </c>
      <c r="P1" s="1006"/>
      <c r="Q1" s="1006"/>
      <c r="R1" s="1006"/>
      <c r="S1" s="1006"/>
      <c r="T1" s="1006"/>
      <c r="U1" s="1006"/>
      <c r="V1" s="1006"/>
      <c r="W1" s="1006"/>
      <c r="X1" s="1006"/>
      <c r="Y1" s="1006"/>
      <c r="Z1" s="1007"/>
    </row>
    <row r="2" spans="1:26" ht="30" customHeight="1" x14ac:dyDescent="0.2">
      <c r="A2" s="1005"/>
      <c r="B2" s="1005"/>
      <c r="C2" s="365"/>
      <c r="D2" s="365"/>
      <c r="E2" s="366"/>
      <c r="F2" s="367"/>
      <c r="G2" s="367"/>
      <c r="H2" s="367"/>
      <c r="I2" s="1009" t="s">
        <v>18</v>
      </c>
      <c r="J2" s="1010"/>
      <c r="K2" s="1011"/>
      <c r="L2" s="367"/>
      <c r="M2" s="368"/>
      <c r="N2" s="369"/>
      <c r="O2" s="1012" t="s">
        <v>20</v>
      </c>
      <c r="P2" s="1012"/>
      <c r="Q2" s="1012"/>
      <c r="R2" s="1012"/>
      <c r="S2" s="368"/>
      <c r="T2" s="368"/>
      <c r="U2" s="368"/>
      <c r="V2" s="368"/>
      <c r="W2" s="1012" t="s">
        <v>25</v>
      </c>
      <c r="X2" s="1012"/>
      <c r="Y2" s="1012"/>
      <c r="Z2" s="369"/>
    </row>
    <row r="3" spans="1:26" ht="134.25" customHeight="1" x14ac:dyDescent="0.2">
      <c r="A3" s="1005"/>
      <c r="B3" s="1005"/>
      <c r="C3" s="370" t="s">
        <v>626</v>
      </c>
      <c r="D3" s="370" t="s">
        <v>627</v>
      </c>
      <c r="E3" s="371" t="s">
        <v>628</v>
      </c>
      <c r="F3" s="370" t="s">
        <v>629</v>
      </c>
      <c r="G3" s="370" t="s">
        <v>630</v>
      </c>
      <c r="H3" s="371" t="s">
        <v>631</v>
      </c>
      <c r="I3" s="372" t="s">
        <v>63</v>
      </c>
      <c r="J3" s="372" t="s">
        <v>64</v>
      </c>
      <c r="K3" s="372" t="s">
        <v>65</v>
      </c>
      <c r="L3" s="370" t="s">
        <v>632</v>
      </c>
      <c r="M3" s="373" t="s">
        <v>633</v>
      </c>
      <c r="N3" s="370" t="s">
        <v>634</v>
      </c>
      <c r="O3" s="374" t="s">
        <v>66</v>
      </c>
      <c r="P3" s="374" t="s">
        <v>67</v>
      </c>
      <c r="Q3" s="374" t="s">
        <v>68</v>
      </c>
      <c r="R3" s="374" t="s">
        <v>69</v>
      </c>
      <c r="S3" s="370" t="s">
        <v>635</v>
      </c>
      <c r="T3" s="370" t="s">
        <v>636</v>
      </c>
      <c r="U3" s="370" t="s">
        <v>637</v>
      </c>
      <c r="V3" s="370" t="s">
        <v>638</v>
      </c>
      <c r="W3" s="375" t="s">
        <v>70</v>
      </c>
      <c r="X3" s="375" t="s">
        <v>71</v>
      </c>
      <c r="Y3" s="375" t="s">
        <v>72</v>
      </c>
      <c r="Z3" s="370" t="s">
        <v>639</v>
      </c>
    </row>
    <row r="4" spans="1:26" x14ac:dyDescent="0.2">
      <c r="A4" s="376"/>
      <c r="B4" s="376"/>
      <c r="C4" s="377">
        <v>1</v>
      </c>
      <c r="D4" s="377">
        <f t="shared" ref="D4:Z4" si="0">C4+1</f>
        <v>2</v>
      </c>
      <c r="E4" s="377">
        <f t="shared" si="0"/>
        <v>3</v>
      </c>
      <c r="F4" s="377">
        <f t="shared" si="0"/>
        <v>4</v>
      </c>
      <c r="G4" s="377">
        <f t="shared" si="0"/>
        <v>5</v>
      </c>
      <c r="H4" s="377">
        <f t="shared" si="0"/>
        <v>6</v>
      </c>
      <c r="I4" s="377">
        <f t="shared" si="0"/>
        <v>7</v>
      </c>
      <c r="J4" s="377">
        <f t="shared" si="0"/>
        <v>8</v>
      </c>
      <c r="K4" s="377">
        <f t="shared" si="0"/>
        <v>9</v>
      </c>
      <c r="L4" s="377">
        <f t="shared" si="0"/>
        <v>10</v>
      </c>
      <c r="M4" s="377">
        <f t="shared" si="0"/>
        <v>11</v>
      </c>
      <c r="N4" s="377">
        <f t="shared" si="0"/>
        <v>12</v>
      </c>
      <c r="O4" s="377">
        <f t="shared" si="0"/>
        <v>13</v>
      </c>
      <c r="P4" s="377">
        <f t="shared" si="0"/>
        <v>14</v>
      </c>
      <c r="Q4" s="377">
        <f t="shared" si="0"/>
        <v>15</v>
      </c>
      <c r="R4" s="377">
        <f t="shared" si="0"/>
        <v>16</v>
      </c>
      <c r="S4" s="377">
        <f t="shared" si="0"/>
        <v>17</v>
      </c>
      <c r="T4" s="377">
        <f t="shared" si="0"/>
        <v>18</v>
      </c>
      <c r="U4" s="377">
        <f t="shared" si="0"/>
        <v>19</v>
      </c>
      <c r="V4" s="377">
        <f t="shared" si="0"/>
        <v>20</v>
      </c>
      <c r="W4" s="377">
        <f t="shared" si="0"/>
        <v>21</v>
      </c>
      <c r="X4" s="377">
        <f t="shared" si="0"/>
        <v>22</v>
      </c>
      <c r="Y4" s="377">
        <f t="shared" si="0"/>
        <v>23</v>
      </c>
      <c r="Z4" s="377">
        <f t="shared" si="0"/>
        <v>24</v>
      </c>
    </row>
    <row r="5" spans="1:26" s="381" customFormat="1" ht="22.5" hidden="1" x14ac:dyDescent="0.2">
      <c r="A5" s="378"/>
      <c r="B5" s="378"/>
      <c r="C5" s="379" t="s">
        <v>73</v>
      </c>
      <c r="D5" s="379" t="s">
        <v>73</v>
      </c>
      <c r="E5" s="379" t="s">
        <v>74</v>
      </c>
      <c r="F5" s="380" t="s">
        <v>445</v>
      </c>
      <c r="G5" s="379" t="s">
        <v>74</v>
      </c>
      <c r="H5" s="379" t="s">
        <v>74</v>
      </c>
      <c r="I5" s="379" t="s">
        <v>640</v>
      </c>
      <c r="J5" s="379" t="s">
        <v>640</v>
      </c>
      <c r="K5" s="379" t="s">
        <v>74</v>
      </c>
      <c r="L5" s="379" t="s">
        <v>74</v>
      </c>
      <c r="M5" s="379" t="s">
        <v>112</v>
      </c>
      <c r="N5" s="379" t="s">
        <v>74</v>
      </c>
      <c r="O5" s="379" t="s">
        <v>73</v>
      </c>
      <c r="P5" s="379" t="s">
        <v>73</v>
      </c>
      <c r="Q5" s="379"/>
      <c r="R5" s="379"/>
      <c r="S5" s="379" t="s">
        <v>74</v>
      </c>
      <c r="T5" s="379" t="s">
        <v>641</v>
      </c>
      <c r="U5" s="379" t="s">
        <v>74</v>
      </c>
      <c r="V5" s="379" t="s">
        <v>74</v>
      </c>
      <c r="W5" s="379" t="s">
        <v>73</v>
      </c>
      <c r="X5" s="379" t="s">
        <v>73</v>
      </c>
      <c r="Y5" s="379" t="s">
        <v>73</v>
      </c>
      <c r="Z5" s="379" t="s">
        <v>74</v>
      </c>
    </row>
    <row r="6" spans="1:26" s="381" customFormat="1" ht="33.75" x14ac:dyDescent="0.2">
      <c r="A6" s="378"/>
      <c r="B6" s="378"/>
      <c r="C6" s="379" t="s">
        <v>642</v>
      </c>
      <c r="D6" s="379" t="s">
        <v>643</v>
      </c>
      <c r="E6" s="379" t="s">
        <v>644</v>
      </c>
      <c r="F6" s="380" t="s">
        <v>448</v>
      </c>
      <c r="G6" s="379" t="s">
        <v>645</v>
      </c>
      <c r="H6" s="379" t="s">
        <v>646</v>
      </c>
      <c r="I6" s="382" t="s">
        <v>647</v>
      </c>
      <c r="J6" s="382" t="s">
        <v>648</v>
      </c>
      <c r="K6" s="379" t="s">
        <v>649</v>
      </c>
      <c r="L6" s="379" t="s">
        <v>650</v>
      </c>
      <c r="M6" s="379" t="s">
        <v>112</v>
      </c>
      <c r="N6" s="379" t="s">
        <v>651</v>
      </c>
      <c r="O6" s="382" t="s">
        <v>119</v>
      </c>
      <c r="P6" s="382" t="s">
        <v>120</v>
      </c>
      <c r="Q6" s="383" t="s">
        <v>121</v>
      </c>
      <c r="R6" s="383" t="s">
        <v>122</v>
      </c>
      <c r="S6" s="379" t="s">
        <v>652</v>
      </c>
      <c r="T6" s="379" t="s">
        <v>653</v>
      </c>
      <c r="U6" s="379" t="s">
        <v>654</v>
      </c>
      <c r="V6" s="379" t="s">
        <v>655</v>
      </c>
      <c r="W6" s="382" t="s">
        <v>127</v>
      </c>
      <c r="X6" s="382" t="s">
        <v>128</v>
      </c>
      <c r="Y6" s="382" t="s">
        <v>129</v>
      </c>
      <c r="Z6" s="379" t="s">
        <v>656</v>
      </c>
    </row>
    <row r="7" spans="1:26" ht="31.5" customHeight="1" x14ac:dyDescent="0.2">
      <c r="A7" s="384">
        <v>318</v>
      </c>
      <c r="B7" s="385" t="s">
        <v>657</v>
      </c>
      <c r="C7" s="386">
        <f>'8_2.1.21 SIS'!BD76</f>
        <v>1428</v>
      </c>
      <c r="D7" s="387">
        <f>'9_Per Pupil Summary'!$Q$75</f>
        <v>4722.1788885734077</v>
      </c>
      <c r="E7" s="387">
        <f>C7*D7</f>
        <v>6743271.4528828263</v>
      </c>
      <c r="F7" s="387">
        <v>605.97</v>
      </c>
      <c r="G7" s="387">
        <f>F7*C7</f>
        <v>865325.16</v>
      </c>
      <c r="H7" s="388">
        <f>ROUND(E7+G7,0)</f>
        <v>7608597</v>
      </c>
      <c r="I7" s="389"/>
      <c r="J7" s="389"/>
      <c r="K7" s="390">
        <f>SUM(I7:J7)</f>
        <v>0</v>
      </c>
      <c r="L7" s="388">
        <f>H7+K7</f>
        <v>7608597</v>
      </c>
      <c r="M7" s="387">
        <f>VLOOKUP($A7,[1]LEA_Summary!$A$7:$O$139,COLUMN([1]LEA_Summary!$I:$I),FALSE)</f>
        <v>0</v>
      </c>
      <c r="N7" s="388">
        <f>SUM(L7:M7)</f>
        <v>7608597</v>
      </c>
      <c r="O7" s="389">
        <f>VLOOKUP($A7,'4_Level 4'!$A$7:$AP$139,COLUMN('4_Level 4'!$E:$E),FALSE)</f>
        <v>0</v>
      </c>
      <c r="P7" s="389">
        <f>VLOOKUP($A7,'4_Level 4'!$A$7:$AP$139,COLUMN('4_Level 4'!$Q:$Q),FALSE)</f>
        <v>40651</v>
      </c>
      <c r="Q7" s="389">
        <f>VLOOKUP($A7,'4_Level 4'!$A$7:$AP$139,COLUMN('4_Level 4'!$AC:$AC),FALSE)</f>
        <v>136151</v>
      </c>
      <c r="R7" s="389">
        <f>VLOOKUP($A7,'4_Level 4'!$A$7:$AP$139,COLUMN('4_Level 4'!$AO:$AO),FALSE)</f>
        <v>108921</v>
      </c>
      <c r="S7" s="388">
        <f>ROUND(SUM(N7:R7),0)</f>
        <v>7894320</v>
      </c>
      <c r="T7" s="389"/>
      <c r="U7" s="389">
        <f>S7-T7</f>
        <v>7894320</v>
      </c>
      <c r="V7" s="388">
        <f>ROUND(U7/$V$11,0)</f>
        <v>657860</v>
      </c>
      <c r="W7" s="387">
        <f>VLOOKUP($A7,'4_Level 4'!$A$7:$AP$139,COLUMN('4_Level 4'!$J:$J),FALSE)</f>
        <v>0</v>
      </c>
      <c r="X7" s="387">
        <f>VLOOKUP($A7,'4_Level 4'!$A$7:$AP$139,COLUMN('4_Level 4'!$L:$L),FALSE)</f>
        <v>10000</v>
      </c>
      <c r="Y7" s="387">
        <f>VLOOKUP($A7,'4_Level 4'!$A$7:$AP$139,COLUMN('4_Level 4'!$M:$M),FALSE)</f>
        <v>0</v>
      </c>
      <c r="Z7" s="388">
        <f>S7+W7+X7+Y7</f>
        <v>7904320</v>
      </c>
    </row>
    <row r="8" spans="1:26" ht="31.5" customHeight="1" x14ac:dyDescent="0.2">
      <c r="A8" s="391">
        <v>319</v>
      </c>
      <c r="B8" s="392" t="s">
        <v>658</v>
      </c>
      <c r="C8" s="386">
        <f>'8_2.1.21 SIS'!BE76</f>
        <v>672</v>
      </c>
      <c r="D8" s="387">
        <f>'9_Per Pupil Summary'!$Q$75</f>
        <v>4722.1788885734077</v>
      </c>
      <c r="E8" s="387">
        <f>C8*D8</f>
        <v>3173304.2131213299</v>
      </c>
      <c r="F8" s="387">
        <v>699.9</v>
      </c>
      <c r="G8" s="387">
        <f>F8*C8</f>
        <v>470332.8</v>
      </c>
      <c r="H8" s="388">
        <f>ROUND(E8+G8,0)</f>
        <v>3643637</v>
      </c>
      <c r="I8" s="389"/>
      <c r="J8" s="389"/>
      <c r="K8" s="390">
        <f>SUM(I8:J8)</f>
        <v>0</v>
      </c>
      <c r="L8" s="388">
        <f>H8+K8</f>
        <v>3643637</v>
      </c>
      <c r="M8" s="387">
        <f>VLOOKUP($A8,[1]LEA_Summary!$A$7:$O$139,COLUMN([1]LEA_Summary!$I:$I),FALSE)</f>
        <v>-5362</v>
      </c>
      <c r="N8" s="388">
        <f>SUM(L8:M8)</f>
        <v>3638275</v>
      </c>
      <c r="O8" s="389">
        <f>VLOOKUP($A8,'4_Level 4'!$A$7:$AP$139,COLUMN('4_Level 4'!$E:$E),FALSE)</f>
        <v>0</v>
      </c>
      <c r="P8" s="389">
        <f>VLOOKUP($A8,'4_Level 4'!$A$7:$AP$139,COLUMN('4_Level 4'!$Q:$Q),FALSE)</f>
        <v>20355</v>
      </c>
      <c r="Q8" s="389">
        <f>VLOOKUP($A8,'4_Level 4'!$A$7:$AP$139,COLUMN('4_Level 4'!$AC:$AC),FALSE)</f>
        <v>39549</v>
      </c>
      <c r="R8" s="389">
        <f>VLOOKUP($A8,'4_Level 4'!$A$7:$AP$139,COLUMN('4_Level 4'!$AO:$AO),FALSE)</f>
        <v>31639</v>
      </c>
      <c r="S8" s="388">
        <f>ROUND(SUM(N8:R8),0)</f>
        <v>3729818</v>
      </c>
      <c r="T8" s="389"/>
      <c r="U8" s="389">
        <f>S8-T8</f>
        <v>3729818</v>
      </c>
      <c r="V8" s="388">
        <f>ROUND(U8/$V$11,0)</f>
        <v>310818</v>
      </c>
      <c r="W8" s="387">
        <f>VLOOKUP($A8,'4_Level 4'!$A$7:$AP$139,COLUMN('4_Level 4'!$J:$J),FALSE)</f>
        <v>0</v>
      </c>
      <c r="X8" s="387">
        <f>VLOOKUP($A8,'4_Level 4'!$A$7:$AP$139,COLUMN('4_Level 4'!$L:$L),FALSE)</f>
        <v>10000</v>
      </c>
      <c r="Y8" s="387">
        <f>VLOOKUP($A8,'4_Level 4'!$A$7:$AP$139,COLUMN('4_Level 4'!$M:$M),FALSE)</f>
        <v>0</v>
      </c>
      <c r="Z8" s="388">
        <f>S8+W8+X8+Y8</f>
        <v>3739818</v>
      </c>
    </row>
    <row r="9" spans="1:26" s="211" customFormat="1" ht="31.5" customHeight="1" thickBot="1" x14ac:dyDescent="0.25">
      <c r="A9" s="393"/>
      <c r="B9" s="393" t="s">
        <v>659</v>
      </c>
      <c r="C9" s="394">
        <f>SUM(C7:C8)</f>
        <v>2100</v>
      </c>
      <c r="D9" s="395"/>
      <c r="E9" s="396">
        <f>SUM(E7:E8)</f>
        <v>9916575.6660041567</v>
      </c>
      <c r="F9" s="396"/>
      <c r="G9" s="396">
        <f t="shared" ref="G9:Z9" si="1">SUM(G7:G8)</f>
        <v>1335657.96</v>
      </c>
      <c r="H9" s="397">
        <f t="shared" si="1"/>
        <v>11252234</v>
      </c>
      <c r="I9" s="398">
        <f t="shared" si="1"/>
        <v>0</v>
      </c>
      <c r="J9" s="398">
        <f t="shared" si="1"/>
        <v>0</v>
      </c>
      <c r="K9" s="399">
        <f t="shared" si="1"/>
        <v>0</v>
      </c>
      <c r="L9" s="397">
        <f t="shared" si="1"/>
        <v>11252234</v>
      </c>
      <c r="M9" s="396">
        <f>SUM(M7:M8)</f>
        <v>-5362</v>
      </c>
      <c r="N9" s="397">
        <f t="shared" si="1"/>
        <v>11246872</v>
      </c>
      <c r="O9" s="398">
        <f t="shared" si="1"/>
        <v>0</v>
      </c>
      <c r="P9" s="398">
        <f t="shared" si="1"/>
        <v>61006</v>
      </c>
      <c r="Q9" s="398">
        <f t="shared" si="1"/>
        <v>175700</v>
      </c>
      <c r="R9" s="398">
        <f t="shared" si="1"/>
        <v>140560</v>
      </c>
      <c r="S9" s="397">
        <f t="shared" si="1"/>
        <v>11624138</v>
      </c>
      <c r="T9" s="398">
        <f t="shared" si="1"/>
        <v>0</v>
      </c>
      <c r="U9" s="398">
        <f t="shared" si="1"/>
        <v>11624138</v>
      </c>
      <c r="V9" s="397">
        <f t="shared" si="1"/>
        <v>968678</v>
      </c>
      <c r="W9" s="396">
        <f t="shared" si="1"/>
        <v>0</v>
      </c>
      <c r="X9" s="396">
        <f>SUM(X7:X8)</f>
        <v>20000</v>
      </c>
      <c r="Y9" s="396">
        <f t="shared" si="1"/>
        <v>0</v>
      </c>
      <c r="Z9" s="397">
        <f t="shared" si="1"/>
        <v>11644138</v>
      </c>
    </row>
    <row r="10" spans="1:26" s="211" customFormat="1" ht="13.5" thickTop="1" x14ac:dyDescent="0.2">
      <c r="B10" s="400"/>
      <c r="C10" s="401"/>
      <c r="D10" s="402"/>
      <c r="E10" s="403"/>
    </row>
    <row r="11" spans="1:26" x14ac:dyDescent="0.2">
      <c r="D11"/>
      <c r="L11" s="404"/>
      <c r="M11" s="405"/>
      <c r="N11" s="404"/>
      <c r="V11" s="2">
        <v>12</v>
      </c>
    </row>
  </sheetData>
  <sheetProtection password="D893" sheet="1" objects="1" scenarios="1"/>
  <mergeCells count="6">
    <mergeCell ref="A1:B3"/>
    <mergeCell ref="C1:N1"/>
    <mergeCell ref="O1:Z1"/>
    <mergeCell ref="I2:K2"/>
    <mergeCell ref="O2:R2"/>
    <mergeCell ref="W2:Y2"/>
  </mergeCells>
  <printOptions horizontalCentered="1"/>
  <pageMargins left="0.25" right="0.25" top="0.95" bottom="0.5" header="0.25" footer="0.25"/>
  <pageSetup paperSize="5" scale="75" firstPageNumber="3" orientation="landscape" r:id="rId1"/>
  <headerFooter alignWithMargins="0">
    <oddHeader xml:space="preserve">&amp;L&amp;"Arial,Bold"&amp;20&amp;K000000FY2021-22 Budget Letter
July 2021&amp;R
</oddHeader>
    <oddFooter>&amp;R&amp;P</oddFooter>
  </headerFooter>
  <colBreaks count="1" manualBreakCount="1">
    <brk id="14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H15"/>
  <sheetViews>
    <sheetView zoomScaleNormal="100" zoomScaleSheetLayoutView="100" workbookViewId="0">
      <pane xSplit="2" ySplit="6" topLeftCell="C7" activePane="bottomRight" state="frozen"/>
      <selection activeCell="B7" sqref="B7"/>
      <selection pane="topRight" activeCell="B7" sqref="B7"/>
      <selection pane="bottomLeft" activeCell="B7" sqref="B7"/>
      <selection pane="bottomRight" activeCell="C7" sqref="C7"/>
    </sheetView>
  </sheetViews>
  <sheetFormatPr defaultColWidth="8.85546875" defaultRowHeight="12.75" x14ac:dyDescent="0.2"/>
  <cols>
    <col min="1" max="1" width="7" style="1" bestFit="1" customWidth="1"/>
    <col min="2" max="2" width="23.28515625" style="1" customWidth="1"/>
    <col min="3" max="3" width="12.140625" style="1" bestFit="1" customWidth="1"/>
    <col min="4" max="4" width="6.42578125" style="1" customWidth="1"/>
    <col min="5" max="5" width="14" style="1" customWidth="1"/>
    <col min="6" max="6" width="7.28515625" style="1" customWidth="1"/>
    <col min="7" max="7" width="14" style="1" customWidth="1"/>
    <col min="8" max="8" width="10.28515625" style="1" customWidth="1"/>
    <col min="9" max="9" width="6.42578125" style="1" customWidth="1"/>
    <col min="10" max="10" width="11.28515625" style="1" customWidth="1"/>
    <col min="11" max="11" width="10.28515625" style="1" customWidth="1"/>
    <col min="12" max="12" width="6.42578125" style="1" customWidth="1"/>
    <col min="13" max="13" width="11.28515625" style="1" customWidth="1"/>
    <col min="14" max="14" width="10.28515625" style="1" customWidth="1"/>
    <col min="15" max="15" width="6.42578125" style="1" customWidth="1"/>
    <col min="16" max="16" width="11.28515625" style="1" customWidth="1"/>
    <col min="17" max="17" width="10.28515625" style="1" customWidth="1"/>
    <col min="18" max="18" width="6.42578125" style="1" customWidth="1"/>
    <col min="19" max="19" width="11.28515625" style="1" customWidth="1"/>
    <col min="20" max="20" width="12.5703125" style="1" bestFit="1" customWidth="1"/>
    <col min="21" max="22" width="14" style="1" customWidth="1"/>
    <col min="23" max="23" width="13.28515625" style="1" customWidth="1"/>
    <col min="24" max="24" width="13.5703125" style="1" customWidth="1"/>
    <col min="25" max="25" width="10.85546875" style="1" bestFit="1" customWidth="1"/>
    <col min="26" max="26" width="13.5703125" style="1" customWidth="1"/>
    <col min="27" max="27" width="14.28515625" style="1" customWidth="1"/>
    <col min="28" max="28" width="12.85546875" style="1" bestFit="1" customWidth="1"/>
    <col min="29" max="29" width="15.28515625" style="1" customWidth="1"/>
    <col min="30" max="30" width="13" style="1" customWidth="1"/>
    <col min="31" max="31" width="12.85546875" style="1" customWidth="1"/>
    <col min="32" max="32" width="13" style="1" customWidth="1"/>
    <col min="33" max="33" width="12.85546875" style="1" bestFit="1" customWidth="1"/>
    <col min="34" max="34" width="16.28515625" style="1" customWidth="1"/>
    <col min="35" max="16384" width="8.85546875" style="1"/>
  </cols>
  <sheetData>
    <row r="1" spans="1:34" ht="19.899999999999999" customHeight="1" x14ac:dyDescent="0.2">
      <c r="A1" s="1030" t="s">
        <v>660</v>
      </c>
      <c r="B1" s="1031"/>
      <c r="C1" s="1013" t="s">
        <v>625</v>
      </c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S1" s="1014"/>
      <c r="T1" s="1015"/>
      <c r="U1" s="1013" t="s">
        <v>625</v>
      </c>
      <c r="V1" s="1014"/>
      <c r="W1" s="1014"/>
      <c r="X1" s="1014"/>
      <c r="Y1" s="1014"/>
      <c r="Z1" s="1014"/>
      <c r="AA1" s="1014"/>
      <c r="AB1" s="1014"/>
      <c r="AC1" s="1014"/>
      <c r="AD1" s="1014"/>
      <c r="AE1" s="1014"/>
      <c r="AF1" s="1014"/>
      <c r="AG1" s="1014"/>
      <c r="AH1" s="1015"/>
    </row>
    <row r="2" spans="1:34" ht="42" customHeight="1" x14ac:dyDescent="0.2">
      <c r="A2" s="1032"/>
      <c r="B2" s="1033"/>
      <c r="C2" s="1016" t="s">
        <v>661</v>
      </c>
      <c r="D2" s="1018" t="s">
        <v>662</v>
      </c>
      <c r="E2" s="1019"/>
      <c r="F2" s="1019"/>
      <c r="G2" s="1020"/>
      <c r="H2" s="1018" t="s">
        <v>663</v>
      </c>
      <c r="I2" s="1021"/>
      <c r="J2" s="1022"/>
      <c r="K2" s="1018" t="s">
        <v>664</v>
      </c>
      <c r="L2" s="1021"/>
      <c r="M2" s="1022"/>
      <c r="N2" s="1018" t="s">
        <v>665</v>
      </c>
      <c r="O2" s="1021"/>
      <c r="P2" s="1022"/>
      <c r="Q2" s="1018" t="s">
        <v>666</v>
      </c>
      <c r="R2" s="1021"/>
      <c r="S2" s="1022"/>
      <c r="T2" s="1016" t="s">
        <v>667</v>
      </c>
      <c r="U2" s="1029" t="s">
        <v>18</v>
      </c>
      <c r="V2" s="1029"/>
      <c r="W2" s="1029"/>
      <c r="X2" s="1016" t="s">
        <v>632</v>
      </c>
      <c r="Y2" s="1023" t="s">
        <v>668</v>
      </c>
      <c r="Z2" s="1023" t="s">
        <v>669</v>
      </c>
      <c r="AA2" s="1029" t="s">
        <v>670</v>
      </c>
      <c r="AB2" s="1027" t="s">
        <v>671</v>
      </c>
      <c r="AC2" s="1023" t="s">
        <v>672</v>
      </c>
      <c r="AD2" s="1023" t="s">
        <v>636</v>
      </c>
      <c r="AE2" s="1023" t="s">
        <v>637</v>
      </c>
      <c r="AF2" s="1023" t="s">
        <v>673</v>
      </c>
      <c r="AG2" s="1027" t="s">
        <v>674</v>
      </c>
      <c r="AH2" s="1023" t="s">
        <v>675</v>
      </c>
    </row>
    <row r="3" spans="1:34" ht="113.45" customHeight="1" x14ac:dyDescent="0.2">
      <c r="A3" s="1034"/>
      <c r="B3" s="1035"/>
      <c r="C3" s="1017"/>
      <c r="D3" s="371" t="s">
        <v>676</v>
      </c>
      <c r="E3" s="371" t="s">
        <v>677</v>
      </c>
      <c r="F3" s="371" t="s">
        <v>676</v>
      </c>
      <c r="G3" s="371" t="s">
        <v>678</v>
      </c>
      <c r="H3" s="371" t="s">
        <v>679</v>
      </c>
      <c r="I3" s="371" t="s">
        <v>676</v>
      </c>
      <c r="J3" s="371" t="s">
        <v>680</v>
      </c>
      <c r="K3" s="371" t="s">
        <v>681</v>
      </c>
      <c r="L3" s="371" t="s">
        <v>676</v>
      </c>
      <c r="M3" s="371" t="s">
        <v>680</v>
      </c>
      <c r="N3" s="371" t="s">
        <v>682</v>
      </c>
      <c r="O3" s="371" t="s">
        <v>676</v>
      </c>
      <c r="P3" s="371" t="s">
        <v>680</v>
      </c>
      <c r="Q3" s="371" t="s">
        <v>682</v>
      </c>
      <c r="R3" s="371" t="s">
        <v>676</v>
      </c>
      <c r="S3" s="371" t="s">
        <v>680</v>
      </c>
      <c r="T3" s="1016"/>
      <c r="U3" s="373" t="s">
        <v>63</v>
      </c>
      <c r="V3" s="373" t="s">
        <v>64</v>
      </c>
      <c r="W3" s="373" t="s">
        <v>65</v>
      </c>
      <c r="X3" s="1016"/>
      <c r="Y3" s="1024"/>
      <c r="Z3" s="1024"/>
      <c r="AA3" s="1029"/>
      <c r="AB3" s="1028"/>
      <c r="AC3" s="1024"/>
      <c r="AD3" s="1024"/>
      <c r="AE3" s="1024"/>
      <c r="AF3" s="1024"/>
      <c r="AG3" s="1028"/>
      <c r="AH3" s="1024"/>
    </row>
    <row r="4" spans="1:34" ht="14.25" customHeight="1" x14ac:dyDescent="0.2">
      <c r="A4" s="406"/>
      <c r="B4" s="407"/>
      <c r="C4" s="408">
        <v>1</v>
      </c>
      <c r="D4" s="408">
        <f t="shared" ref="D4:AA4" si="0">C4+1</f>
        <v>2</v>
      </c>
      <c r="E4" s="408">
        <f t="shared" si="0"/>
        <v>3</v>
      </c>
      <c r="F4" s="408">
        <f>E4+1</f>
        <v>4</v>
      </c>
      <c r="G4" s="408">
        <f>F4+1</f>
        <v>5</v>
      </c>
      <c r="H4" s="408">
        <f>G4+1</f>
        <v>6</v>
      </c>
      <c r="I4" s="408">
        <f>H4+1</f>
        <v>7</v>
      </c>
      <c r="J4" s="408">
        <f t="shared" si="0"/>
        <v>8</v>
      </c>
      <c r="K4" s="408">
        <f t="shared" si="0"/>
        <v>9</v>
      </c>
      <c r="L4" s="408">
        <f t="shared" si="0"/>
        <v>10</v>
      </c>
      <c r="M4" s="408">
        <f t="shared" si="0"/>
        <v>11</v>
      </c>
      <c r="N4" s="408">
        <f t="shared" si="0"/>
        <v>12</v>
      </c>
      <c r="O4" s="408">
        <f t="shared" si="0"/>
        <v>13</v>
      </c>
      <c r="P4" s="408">
        <f t="shared" si="0"/>
        <v>14</v>
      </c>
      <c r="Q4" s="408">
        <f t="shared" si="0"/>
        <v>15</v>
      </c>
      <c r="R4" s="408">
        <f t="shared" si="0"/>
        <v>16</v>
      </c>
      <c r="S4" s="408">
        <f t="shared" si="0"/>
        <v>17</v>
      </c>
      <c r="T4" s="408">
        <f>S4+1</f>
        <v>18</v>
      </c>
      <c r="U4" s="408">
        <f>T4+1</f>
        <v>19</v>
      </c>
      <c r="V4" s="408">
        <f>U4+1</f>
        <v>20</v>
      </c>
      <c r="W4" s="408">
        <f t="shared" si="0"/>
        <v>21</v>
      </c>
      <c r="X4" s="408">
        <f t="shared" si="0"/>
        <v>22</v>
      </c>
      <c r="Y4" s="408">
        <f t="shared" si="0"/>
        <v>23</v>
      </c>
      <c r="Z4" s="408">
        <f t="shared" si="0"/>
        <v>24</v>
      </c>
      <c r="AA4" s="408">
        <f t="shared" si="0"/>
        <v>25</v>
      </c>
      <c r="AB4" s="408" t="s">
        <v>683</v>
      </c>
      <c r="AC4" s="408">
        <v>26</v>
      </c>
      <c r="AD4" s="408">
        <f>AC4+1</f>
        <v>27</v>
      </c>
      <c r="AE4" s="408">
        <f>AD4+1</f>
        <v>28</v>
      </c>
      <c r="AF4" s="408">
        <f>AE4+1</f>
        <v>29</v>
      </c>
      <c r="AG4" s="408" t="s">
        <v>684</v>
      </c>
      <c r="AH4" s="408">
        <v>30</v>
      </c>
    </row>
    <row r="5" spans="1:34" s="412" customFormat="1" ht="11.25" hidden="1" x14ac:dyDescent="0.2">
      <c r="A5" s="409"/>
      <c r="B5" s="410"/>
      <c r="C5" s="411" t="s">
        <v>73</v>
      </c>
      <c r="D5" s="411"/>
      <c r="E5" s="411" t="s">
        <v>73</v>
      </c>
      <c r="F5" s="411"/>
      <c r="G5" s="411" t="s">
        <v>73</v>
      </c>
      <c r="H5" s="411" t="s">
        <v>73</v>
      </c>
      <c r="I5" s="411"/>
      <c r="J5" s="411" t="s">
        <v>73</v>
      </c>
      <c r="K5" s="411" t="s">
        <v>73</v>
      </c>
      <c r="L5" s="411"/>
      <c r="M5" s="411" t="s">
        <v>73</v>
      </c>
      <c r="N5" s="411" t="s">
        <v>73</v>
      </c>
      <c r="O5" s="411"/>
      <c r="P5" s="411" t="s">
        <v>73</v>
      </c>
      <c r="Q5" s="411" t="s">
        <v>73</v>
      </c>
      <c r="R5" s="411"/>
      <c r="S5" s="411" t="s">
        <v>73</v>
      </c>
      <c r="T5" s="411"/>
      <c r="U5" s="411" t="s">
        <v>73</v>
      </c>
      <c r="V5" s="411" t="s">
        <v>73</v>
      </c>
      <c r="W5" s="411" t="s">
        <v>73</v>
      </c>
      <c r="X5" s="411" t="s">
        <v>73</v>
      </c>
      <c r="Y5" s="411" t="s">
        <v>73</v>
      </c>
      <c r="Z5" s="411" t="s">
        <v>73</v>
      </c>
      <c r="AA5" s="411" t="s">
        <v>73</v>
      </c>
      <c r="AB5" s="411" t="s">
        <v>73</v>
      </c>
      <c r="AC5" s="411" t="s">
        <v>73</v>
      </c>
      <c r="AD5" s="411" t="s">
        <v>73</v>
      </c>
      <c r="AE5" s="411" t="s">
        <v>73</v>
      </c>
      <c r="AF5" s="411" t="s">
        <v>73</v>
      </c>
      <c r="AG5" s="411" t="s">
        <v>73</v>
      </c>
      <c r="AH5" s="411" t="s">
        <v>73</v>
      </c>
    </row>
    <row r="6" spans="1:34" s="412" customFormat="1" ht="45" x14ac:dyDescent="0.2">
      <c r="A6" s="413"/>
      <c r="B6" s="414"/>
      <c r="C6" s="411" t="s">
        <v>685</v>
      </c>
      <c r="D6" s="411" t="s">
        <v>686</v>
      </c>
      <c r="E6" s="411" t="s">
        <v>644</v>
      </c>
      <c r="F6" s="411" t="s">
        <v>448</v>
      </c>
      <c r="G6" s="411" t="s">
        <v>645</v>
      </c>
      <c r="H6" s="411" t="s">
        <v>687</v>
      </c>
      <c r="I6" s="411" t="s">
        <v>688</v>
      </c>
      <c r="J6" s="411" t="s">
        <v>689</v>
      </c>
      <c r="K6" s="411" t="s">
        <v>690</v>
      </c>
      <c r="L6" s="411" t="s">
        <v>691</v>
      </c>
      <c r="M6" s="411" t="s">
        <v>692</v>
      </c>
      <c r="N6" s="411" t="s">
        <v>693</v>
      </c>
      <c r="O6" s="411" t="s">
        <v>694</v>
      </c>
      <c r="P6" s="411" t="s">
        <v>695</v>
      </c>
      <c r="Q6" s="411" t="s">
        <v>696</v>
      </c>
      <c r="R6" s="411" t="s">
        <v>697</v>
      </c>
      <c r="S6" s="411" t="s">
        <v>698</v>
      </c>
      <c r="T6" s="411" t="s">
        <v>699</v>
      </c>
      <c r="U6" s="411" t="s">
        <v>115</v>
      </c>
      <c r="V6" s="411" t="s">
        <v>116</v>
      </c>
      <c r="W6" s="411" t="s">
        <v>700</v>
      </c>
      <c r="X6" s="411" t="s">
        <v>701</v>
      </c>
      <c r="Y6" s="411" t="s">
        <v>702</v>
      </c>
      <c r="Z6" s="411" t="s">
        <v>703</v>
      </c>
      <c r="AA6" s="411" t="s">
        <v>112</v>
      </c>
      <c r="AB6" s="411" t="s">
        <v>704</v>
      </c>
      <c r="AC6" s="411" t="s">
        <v>705</v>
      </c>
      <c r="AD6" s="411" t="s">
        <v>706</v>
      </c>
      <c r="AE6" s="411" t="s">
        <v>707</v>
      </c>
      <c r="AF6" s="411" t="s">
        <v>708</v>
      </c>
      <c r="AG6" s="411" t="s">
        <v>709</v>
      </c>
      <c r="AH6" s="411" t="s">
        <v>710</v>
      </c>
    </row>
    <row r="7" spans="1:34" s="2" customFormat="1" ht="26.25" customHeight="1" x14ac:dyDescent="0.2">
      <c r="A7" s="415">
        <v>321001</v>
      </c>
      <c r="B7" s="416" t="s">
        <v>538</v>
      </c>
      <c r="C7" s="417">
        <v>256</v>
      </c>
      <c r="D7" s="418"/>
      <c r="E7" s="419">
        <v>2348264.5997108822</v>
      </c>
      <c r="F7" s="419"/>
      <c r="G7" s="419">
        <v>183372.79999999999</v>
      </c>
      <c r="H7" s="420">
        <v>229</v>
      </c>
      <c r="I7" s="418"/>
      <c r="J7" s="419">
        <v>142119.52323707653</v>
      </c>
      <c r="K7" s="420">
        <v>0</v>
      </c>
      <c r="L7" s="418"/>
      <c r="M7" s="419">
        <v>0</v>
      </c>
      <c r="N7" s="420">
        <v>26</v>
      </c>
      <c r="O7" s="418"/>
      <c r="P7" s="419">
        <v>109596.81812450905</v>
      </c>
      <c r="Q7" s="420">
        <v>0</v>
      </c>
      <c r="R7" s="418"/>
      <c r="S7" s="419">
        <v>0</v>
      </c>
      <c r="T7" s="421">
        <v>2783354</v>
      </c>
      <c r="U7" s="418">
        <v>0</v>
      </c>
      <c r="V7" s="418">
        <v>0</v>
      </c>
      <c r="W7" s="422">
        <v>0</v>
      </c>
      <c r="X7" s="421">
        <v>2783354</v>
      </c>
      <c r="Y7" s="419">
        <v>-6958</v>
      </c>
      <c r="Z7" s="421">
        <v>2776396</v>
      </c>
      <c r="AA7" s="418">
        <v>0</v>
      </c>
      <c r="AB7" s="423">
        <v>46375</v>
      </c>
      <c r="AC7" s="421">
        <v>2822771</v>
      </c>
      <c r="AD7" s="418">
        <v>0</v>
      </c>
      <c r="AE7" s="418">
        <v>2822771</v>
      </c>
      <c r="AF7" s="421">
        <v>235231</v>
      </c>
      <c r="AG7" s="423">
        <v>0</v>
      </c>
      <c r="AH7" s="421">
        <v>2822771</v>
      </c>
    </row>
    <row r="8" spans="1:34" s="2" customFormat="1" ht="26.25" customHeight="1" x14ac:dyDescent="0.2">
      <c r="A8" s="424">
        <v>329001</v>
      </c>
      <c r="B8" s="425" t="s">
        <v>539</v>
      </c>
      <c r="C8" s="426">
        <v>383</v>
      </c>
      <c r="D8" s="427"/>
      <c r="E8" s="428">
        <v>3268589.5606718217</v>
      </c>
      <c r="F8" s="428"/>
      <c r="G8" s="428">
        <v>229187.20000000001</v>
      </c>
      <c r="H8" s="429">
        <v>296</v>
      </c>
      <c r="I8" s="427"/>
      <c r="J8" s="428">
        <v>179736.2276536219</v>
      </c>
      <c r="K8" s="429">
        <v>99</v>
      </c>
      <c r="L8" s="427"/>
      <c r="M8" s="428">
        <v>16442.465298439602</v>
      </c>
      <c r="N8" s="429">
        <v>45</v>
      </c>
      <c r="O8" s="427"/>
      <c r="P8" s="428">
        <v>185474.95585038853</v>
      </c>
      <c r="Q8" s="429">
        <v>1</v>
      </c>
      <c r="R8" s="427"/>
      <c r="S8" s="428">
        <v>1618.8714140761924</v>
      </c>
      <c r="T8" s="430">
        <v>3881049</v>
      </c>
      <c r="U8" s="427">
        <v>0</v>
      </c>
      <c r="V8" s="427">
        <v>0</v>
      </c>
      <c r="W8" s="431">
        <v>0</v>
      </c>
      <c r="X8" s="430">
        <v>3881049</v>
      </c>
      <c r="Y8" s="428">
        <v>-9702</v>
      </c>
      <c r="Z8" s="430">
        <v>3871347</v>
      </c>
      <c r="AA8" s="427">
        <v>0</v>
      </c>
      <c r="AB8" s="432">
        <v>99694</v>
      </c>
      <c r="AC8" s="430">
        <v>3971041</v>
      </c>
      <c r="AD8" s="427">
        <v>0</v>
      </c>
      <c r="AE8" s="427">
        <v>3971041</v>
      </c>
      <c r="AF8" s="430">
        <v>330921</v>
      </c>
      <c r="AG8" s="432">
        <v>10000</v>
      </c>
      <c r="AH8" s="430">
        <v>3981041</v>
      </c>
    </row>
    <row r="9" spans="1:34" s="2" customFormat="1" ht="26.25" customHeight="1" x14ac:dyDescent="0.2">
      <c r="A9" s="424">
        <v>331001</v>
      </c>
      <c r="B9" s="425" t="s">
        <v>540</v>
      </c>
      <c r="C9" s="426">
        <v>1291</v>
      </c>
      <c r="D9" s="427"/>
      <c r="E9" s="428">
        <v>11508837.08800238</v>
      </c>
      <c r="F9" s="428"/>
      <c r="G9" s="428">
        <v>922819.71000000008</v>
      </c>
      <c r="H9" s="429">
        <v>786</v>
      </c>
      <c r="I9" s="427"/>
      <c r="J9" s="428">
        <v>378960.87902815122</v>
      </c>
      <c r="K9" s="429">
        <v>0</v>
      </c>
      <c r="L9" s="427"/>
      <c r="M9" s="428">
        <v>0</v>
      </c>
      <c r="N9" s="429">
        <v>97</v>
      </c>
      <c r="O9" s="427"/>
      <c r="P9" s="428">
        <v>321095.52721831307</v>
      </c>
      <c r="Q9" s="429">
        <v>0</v>
      </c>
      <c r="R9" s="427"/>
      <c r="S9" s="428">
        <v>0</v>
      </c>
      <c r="T9" s="430">
        <v>13131714</v>
      </c>
      <c r="U9" s="427">
        <v>0</v>
      </c>
      <c r="V9" s="427">
        <v>0</v>
      </c>
      <c r="W9" s="431">
        <v>0</v>
      </c>
      <c r="X9" s="430">
        <v>13131714</v>
      </c>
      <c r="Y9" s="428">
        <v>-32830</v>
      </c>
      <c r="Z9" s="430">
        <v>13098884</v>
      </c>
      <c r="AA9" s="427">
        <v>-4763</v>
      </c>
      <c r="AB9" s="432">
        <v>818304</v>
      </c>
      <c r="AC9" s="430">
        <v>13912425</v>
      </c>
      <c r="AD9" s="427">
        <v>0</v>
      </c>
      <c r="AE9" s="427">
        <v>13912425</v>
      </c>
      <c r="AF9" s="430">
        <v>1159370</v>
      </c>
      <c r="AG9" s="432">
        <v>0</v>
      </c>
      <c r="AH9" s="430">
        <v>13912425</v>
      </c>
    </row>
    <row r="10" spans="1:34" s="2" customFormat="1" ht="26.25" customHeight="1" x14ac:dyDescent="0.2">
      <c r="A10" s="424">
        <v>333001</v>
      </c>
      <c r="B10" s="425" t="s">
        <v>711</v>
      </c>
      <c r="C10" s="426">
        <v>664</v>
      </c>
      <c r="D10" s="427"/>
      <c r="E10" s="428">
        <v>4455845.7978117224</v>
      </c>
      <c r="F10" s="428"/>
      <c r="G10" s="428">
        <v>355983.67999999993</v>
      </c>
      <c r="H10" s="429">
        <v>391</v>
      </c>
      <c r="I10" s="427"/>
      <c r="J10" s="428">
        <v>277529.02559551381</v>
      </c>
      <c r="K10" s="429">
        <v>71</v>
      </c>
      <c r="L10" s="427"/>
      <c r="M10" s="428">
        <v>13803.327267425935</v>
      </c>
      <c r="N10" s="429">
        <v>38</v>
      </c>
      <c r="O10" s="427"/>
      <c r="P10" s="428">
        <v>184883.49276103434</v>
      </c>
      <c r="Q10" s="429">
        <v>0</v>
      </c>
      <c r="R10" s="427"/>
      <c r="S10" s="428">
        <v>0</v>
      </c>
      <c r="T10" s="430">
        <v>5288045</v>
      </c>
      <c r="U10" s="427">
        <v>0</v>
      </c>
      <c r="V10" s="427">
        <v>0</v>
      </c>
      <c r="W10" s="431">
        <v>0</v>
      </c>
      <c r="X10" s="430">
        <v>5288045</v>
      </c>
      <c r="Y10" s="428">
        <v>-13220</v>
      </c>
      <c r="Z10" s="430">
        <v>5274825</v>
      </c>
      <c r="AA10" s="427">
        <v>0</v>
      </c>
      <c r="AB10" s="432">
        <v>137394</v>
      </c>
      <c r="AC10" s="430">
        <v>5412219</v>
      </c>
      <c r="AD10" s="427">
        <v>0</v>
      </c>
      <c r="AE10" s="427">
        <v>5412219</v>
      </c>
      <c r="AF10" s="430">
        <v>451018</v>
      </c>
      <c r="AG10" s="432">
        <v>10000</v>
      </c>
      <c r="AH10" s="430">
        <v>5422219</v>
      </c>
    </row>
    <row r="11" spans="1:34" s="2" customFormat="1" ht="26.25" customHeight="1" x14ac:dyDescent="0.2">
      <c r="A11" s="434">
        <v>336001</v>
      </c>
      <c r="B11" s="435" t="s">
        <v>542</v>
      </c>
      <c r="C11" s="436">
        <v>763</v>
      </c>
      <c r="D11" s="437"/>
      <c r="E11" s="438">
        <v>6671541.2418095889</v>
      </c>
      <c r="F11" s="438"/>
      <c r="G11" s="438">
        <v>402116.26</v>
      </c>
      <c r="H11" s="439">
        <v>630</v>
      </c>
      <c r="I11" s="437"/>
      <c r="J11" s="438">
        <v>387966.97770282696</v>
      </c>
      <c r="K11" s="439">
        <v>414</v>
      </c>
      <c r="L11" s="437"/>
      <c r="M11" s="438">
        <v>69930.685986886951</v>
      </c>
      <c r="N11" s="439">
        <v>63</v>
      </c>
      <c r="O11" s="437"/>
      <c r="P11" s="438">
        <v>269504.7323443428</v>
      </c>
      <c r="Q11" s="439">
        <v>7</v>
      </c>
      <c r="R11" s="437"/>
      <c r="S11" s="438">
        <v>11751.022239449883</v>
      </c>
      <c r="T11" s="440">
        <v>7812811</v>
      </c>
      <c r="U11" s="437">
        <v>0</v>
      </c>
      <c r="V11" s="437">
        <v>0</v>
      </c>
      <c r="W11" s="441">
        <v>0</v>
      </c>
      <c r="X11" s="440">
        <v>7812811</v>
      </c>
      <c r="Y11" s="438">
        <v>-19533</v>
      </c>
      <c r="Z11" s="440">
        <v>7793278</v>
      </c>
      <c r="AA11" s="437">
        <v>-4787</v>
      </c>
      <c r="AB11" s="442">
        <v>206372</v>
      </c>
      <c r="AC11" s="440">
        <v>7994863</v>
      </c>
      <c r="AD11" s="437">
        <v>0</v>
      </c>
      <c r="AE11" s="443">
        <v>7994863</v>
      </c>
      <c r="AF11" s="440">
        <v>666240</v>
      </c>
      <c r="AG11" s="442">
        <v>41211</v>
      </c>
      <c r="AH11" s="444">
        <v>8036074</v>
      </c>
    </row>
    <row r="12" spans="1:34" s="2" customFormat="1" ht="26.25" customHeight="1" x14ac:dyDescent="0.2">
      <c r="A12" s="415">
        <v>337001</v>
      </c>
      <c r="B12" s="416" t="s">
        <v>543</v>
      </c>
      <c r="C12" s="417">
        <v>871</v>
      </c>
      <c r="D12" s="418"/>
      <c r="E12" s="419">
        <v>9217206.2705197539</v>
      </c>
      <c r="F12" s="419"/>
      <c r="G12" s="419">
        <v>687131.89999999991</v>
      </c>
      <c r="H12" s="420">
        <v>348</v>
      </c>
      <c r="I12" s="418"/>
      <c r="J12" s="419">
        <v>122674.2886586751</v>
      </c>
      <c r="K12" s="420">
        <v>2</v>
      </c>
      <c r="L12" s="418"/>
      <c r="M12" s="419">
        <v>120.44999605619563</v>
      </c>
      <c r="N12" s="420">
        <v>98</v>
      </c>
      <c r="O12" s="418"/>
      <c r="P12" s="419">
        <v>244988.65749718662</v>
      </c>
      <c r="Q12" s="420">
        <v>39</v>
      </c>
      <c r="R12" s="418"/>
      <c r="S12" s="419">
        <v>34400.602908291396</v>
      </c>
      <c r="T12" s="421">
        <v>10306522</v>
      </c>
      <c r="U12" s="418">
        <v>0</v>
      </c>
      <c r="V12" s="418">
        <v>0</v>
      </c>
      <c r="W12" s="422">
        <v>0</v>
      </c>
      <c r="X12" s="421">
        <v>10306522</v>
      </c>
      <c r="Y12" s="419">
        <v>-25767</v>
      </c>
      <c r="Z12" s="421">
        <v>10280755</v>
      </c>
      <c r="AA12" s="418">
        <v>0</v>
      </c>
      <c r="AB12" s="423">
        <v>308938</v>
      </c>
      <c r="AC12" s="421">
        <v>10589693</v>
      </c>
      <c r="AD12" s="418">
        <v>0</v>
      </c>
      <c r="AE12" s="418">
        <v>10589693</v>
      </c>
      <c r="AF12" s="421">
        <v>882476</v>
      </c>
      <c r="AG12" s="423">
        <v>0</v>
      </c>
      <c r="AH12" s="421">
        <v>10589693</v>
      </c>
    </row>
    <row r="13" spans="1:34" s="2" customFormat="1" ht="26.25" customHeight="1" x14ac:dyDescent="0.2">
      <c r="A13" s="424">
        <v>340001</v>
      </c>
      <c r="B13" s="425" t="s">
        <v>712</v>
      </c>
      <c r="C13" s="426">
        <v>120</v>
      </c>
      <c r="D13" s="427"/>
      <c r="E13" s="428">
        <v>1027254.2397325465</v>
      </c>
      <c r="F13" s="428"/>
      <c r="G13" s="428">
        <v>79105.200000000012</v>
      </c>
      <c r="H13" s="429">
        <v>51</v>
      </c>
      <c r="I13" s="427"/>
      <c r="J13" s="428">
        <v>29999.930354997068</v>
      </c>
      <c r="K13" s="429">
        <v>12</v>
      </c>
      <c r="L13" s="427"/>
      <c r="M13" s="428">
        <v>1896.3220588187428</v>
      </c>
      <c r="N13" s="429">
        <v>30</v>
      </c>
      <c r="O13" s="427"/>
      <c r="P13" s="428">
        <v>121989.83727823831</v>
      </c>
      <c r="Q13" s="429">
        <v>0</v>
      </c>
      <c r="R13" s="427"/>
      <c r="S13" s="428">
        <v>0</v>
      </c>
      <c r="T13" s="430">
        <v>1260246</v>
      </c>
      <c r="U13" s="427">
        <v>0</v>
      </c>
      <c r="V13" s="427">
        <v>0</v>
      </c>
      <c r="W13" s="431">
        <v>0</v>
      </c>
      <c r="X13" s="430">
        <v>1260246</v>
      </c>
      <c r="Y13" s="428">
        <v>-3151</v>
      </c>
      <c r="Z13" s="430">
        <v>1257095</v>
      </c>
      <c r="AA13" s="427">
        <v>0</v>
      </c>
      <c r="AB13" s="432">
        <v>43257</v>
      </c>
      <c r="AC13" s="430">
        <v>1300352</v>
      </c>
      <c r="AD13" s="427">
        <v>0</v>
      </c>
      <c r="AE13" s="427">
        <v>1300352</v>
      </c>
      <c r="AF13" s="430">
        <v>108364</v>
      </c>
      <c r="AG13" s="432">
        <v>0</v>
      </c>
      <c r="AH13" s="430">
        <v>1300352</v>
      </c>
    </row>
    <row r="14" spans="1:34" s="41" customFormat="1" ht="26.25" customHeight="1" thickBot="1" x14ac:dyDescent="0.25">
      <c r="A14" s="1025" t="s">
        <v>713</v>
      </c>
      <c r="B14" s="1026"/>
      <c r="C14" s="446">
        <f>SUM(C7:C13)</f>
        <v>4348</v>
      </c>
      <c r="D14" s="447"/>
      <c r="E14" s="448">
        <f>SUM(E7:E13)</f>
        <v>38497538.798258692</v>
      </c>
      <c r="F14" s="448"/>
      <c r="G14" s="448">
        <f>SUM(G7:G13)</f>
        <v>2859716.75</v>
      </c>
      <c r="H14" s="446">
        <f>SUM(H7:H13)</f>
        <v>2731</v>
      </c>
      <c r="I14" s="447"/>
      <c r="J14" s="448">
        <f>SUM(J7:J13)</f>
        <v>1518986.8522308625</v>
      </c>
      <c r="K14" s="446">
        <f>SUM(K7:K13)</f>
        <v>598</v>
      </c>
      <c r="L14" s="447"/>
      <c r="M14" s="448">
        <f>SUM(M7:M13)</f>
        <v>102193.25060762743</v>
      </c>
      <c r="N14" s="446">
        <f>SUM(N7:N13)</f>
        <v>397</v>
      </c>
      <c r="O14" s="447"/>
      <c r="P14" s="448">
        <f>SUM(P7:P13)</f>
        <v>1437534.0210740129</v>
      </c>
      <c r="Q14" s="446">
        <f>SUM(Q7:Q13)</f>
        <v>47</v>
      </c>
      <c r="R14" s="447"/>
      <c r="S14" s="448">
        <f t="shared" ref="S14:AH14" si="1">SUM(S7:S13)</f>
        <v>47770.496561817476</v>
      </c>
      <c r="T14" s="449">
        <f>SUM(T7:T13)</f>
        <v>44463741</v>
      </c>
      <c r="U14" s="447">
        <f t="shared" si="1"/>
        <v>0</v>
      </c>
      <c r="V14" s="447">
        <f t="shared" si="1"/>
        <v>0</v>
      </c>
      <c r="W14" s="450">
        <f t="shared" si="1"/>
        <v>0</v>
      </c>
      <c r="X14" s="449">
        <f t="shared" si="1"/>
        <v>44463741</v>
      </c>
      <c r="Y14" s="448">
        <f t="shared" si="1"/>
        <v>-111161</v>
      </c>
      <c r="Z14" s="449">
        <f t="shared" si="1"/>
        <v>44352580</v>
      </c>
      <c r="AA14" s="448">
        <f t="shared" si="1"/>
        <v>-9550</v>
      </c>
      <c r="AB14" s="451">
        <f t="shared" si="1"/>
        <v>1660334</v>
      </c>
      <c r="AC14" s="449">
        <f t="shared" si="1"/>
        <v>46003364</v>
      </c>
      <c r="AD14" s="448">
        <f t="shared" si="1"/>
        <v>0</v>
      </c>
      <c r="AE14" s="448">
        <f t="shared" si="1"/>
        <v>46003364</v>
      </c>
      <c r="AF14" s="449">
        <f t="shared" si="1"/>
        <v>3833620</v>
      </c>
      <c r="AG14" s="451">
        <f t="shared" si="1"/>
        <v>61211</v>
      </c>
      <c r="AH14" s="449">
        <f t="shared" si="1"/>
        <v>46064575</v>
      </c>
    </row>
    <row r="15" spans="1:34" ht="13.5" thickTop="1" x14ac:dyDescent="0.2"/>
  </sheetData>
  <sheetProtection password="D893" sheet="1" objects="1" scenarios="1" formatCells="0" formatColumns="0" formatRows="0"/>
  <mergeCells count="23">
    <mergeCell ref="A14:B14"/>
    <mergeCell ref="AB2:AB3"/>
    <mergeCell ref="AC2:AC3"/>
    <mergeCell ref="AD2:AD3"/>
    <mergeCell ref="AE2:AE3"/>
    <mergeCell ref="T2:T3"/>
    <mergeCell ref="U2:W2"/>
    <mergeCell ref="X2:X3"/>
    <mergeCell ref="Y2:Y3"/>
    <mergeCell ref="Z2:Z3"/>
    <mergeCell ref="AA2:AA3"/>
    <mergeCell ref="A1:B3"/>
    <mergeCell ref="C1:T1"/>
    <mergeCell ref="U1:AH1"/>
    <mergeCell ref="C2:C3"/>
    <mergeCell ref="D2:G2"/>
    <mergeCell ref="H2:J2"/>
    <mergeCell ref="K2:M2"/>
    <mergeCell ref="N2:P2"/>
    <mergeCell ref="Q2:S2"/>
    <mergeCell ref="AH2:AH3"/>
    <mergeCell ref="AF2:AF3"/>
    <mergeCell ref="AG2:AG3"/>
  </mergeCells>
  <printOptions horizontalCentered="1"/>
  <pageMargins left="0.3" right="0.3" top="1" bottom="0.5" header="0.3" footer="0.3"/>
  <pageSetup paperSize="5" scale="75" firstPageNumber="50" orientation="landscape" r:id="rId1"/>
  <headerFooter alignWithMargins="0">
    <oddHeader>&amp;L&amp;"Arial,Bold"&amp;20&amp;K000000FY2021-22 Budget Letter
July 2021</oddHeader>
    <oddFooter>&amp;R&amp;P</oddFooter>
  </headerFooter>
  <colBreaks count="1" manualBreakCount="1">
    <brk id="20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37</vt:i4>
      </vt:variant>
    </vt:vector>
  </HeadingPairs>
  <TitlesOfParts>
    <vt:vector size="57" baseType="lpstr">
      <vt:lpstr>1_State Summary</vt:lpstr>
      <vt:lpstr>2_State Distrib and Adjs</vt:lpstr>
      <vt:lpstr>2A-1_EFT (Annual)</vt:lpstr>
      <vt:lpstr>2A-2_EFT (Monthly)</vt:lpstr>
      <vt:lpstr>3_Levels 1&amp;2</vt:lpstr>
      <vt:lpstr>3A_Level 3</vt:lpstr>
      <vt:lpstr>4_Level 4</vt:lpstr>
      <vt:lpstr>5A1_Labs</vt:lpstr>
      <vt:lpstr>5A2_Legacy Type 2</vt:lpstr>
      <vt:lpstr>5A3_OJJ</vt:lpstr>
      <vt:lpstr>5A4_NOCCA</vt:lpstr>
      <vt:lpstr>5A5_LSMSA</vt:lpstr>
      <vt:lpstr>5A6_Thrive</vt:lpstr>
      <vt:lpstr>5B2_RSD LA</vt:lpstr>
      <vt:lpstr>5C1_NewType 2</vt:lpstr>
      <vt:lpstr>6_Local Deduct Calc</vt:lpstr>
      <vt:lpstr>7_Local Revenue</vt:lpstr>
      <vt:lpstr>8_2.1.21 SIS</vt:lpstr>
      <vt:lpstr>8A_2.1.21 RSD Op &amp; 5s</vt:lpstr>
      <vt:lpstr>9_Per Pupil Summary</vt:lpstr>
      <vt:lpstr>'1_State Summary'!Print_Area</vt:lpstr>
      <vt:lpstr>'2_State Distrib and Adjs'!Print_Area</vt:lpstr>
      <vt:lpstr>'2A-1_EFT (Annual)'!Print_Area</vt:lpstr>
      <vt:lpstr>'2A-2_EFT (Monthly)'!Print_Area</vt:lpstr>
      <vt:lpstr>'3_Levels 1&amp;2'!Print_Area</vt:lpstr>
      <vt:lpstr>'3A_Level 3'!Print_Area</vt:lpstr>
      <vt:lpstr>'4_Level 4'!Print_Area</vt:lpstr>
      <vt:lpstr>'5A1_Labs'!Print_Area</vt:lpstr>
      <vt:lpstr>'5A2_Legacy Type 2'!Print_Area</vt:lpstr>
      <vt:lpstr>'5A3_OJJ'!Print_Area</vt:lpstr>
      <vt:lpstr>'5A4_NOCCA'!Print_Area</vt:lpstr>
      <vt:lpstr>'5A5_LSMSA'!Print_Area</vt:lpstr>
      <vt:lpstr>'5A6_Thrive'!Print_Area</vt:lpstr>
      <vt:lpstr>'5B2_RSD LA'!Print_Area</vt:lpstr>
      <vt:lpstr>'5C1_NewType 2'!Print_Area</vt:lpstr>
      <vt:lpstr>'6_Local Deduct Calc'!Print_Area</vt:lpstr>
      <vt:lpstr>'7_Local Revenue'!Print_Area</vt:lpstr>
      <vt:lpstr>'8_2.1.21 SIS'!Print_Area</vt:lpstr>
      <vt:lpstr>'8A_2.1.21 RSD Op &amp; 5s'!Print_Area</vt:lpstr>
      <vt:lpstr>'9_Per Pupil Summary'!Print_Area</vt:lpstr>
      <vt:lpstr>'2_State Distrib and Adjs'!Print_Titles</vt:lpstr>
      <vt:lpstr>'2A-1_EFT (Annual)'!Print_Titles</vt:lpstr>
      <vt:lpstr>'2A-2_EFT (Monthly)'!Print_Titles</vt:lpstr>
      <vt:lpstr>'3_Levels 1&amp;2'!Print_Titles</vt:lpstr>
      <vt:lpstr>'3A_Level 3'!Print_Titles</vt:lpstr>
      <vt:lpstr>'4_Level 4'!Print_Titles</vt:lpstr>
      <vt:lpstr>'5A1_Labs'!Print_Titles</vt:lpstr>
      <vt:lpstr>'5A2_Legacy Type 2'!Print_Titles</vt:lpstr>
      <vt:lpstr>'5A3_OJJ'!Print_Titles</vt:lpstr>
      <vt:lpstr>'5A4_NOCCA'!Print_Titles</vt:lpstr>
      <vt:lpstr>'5A5_LSMSA'!Print_Titles</vt:lpstr>
      <vt:lpstr>'5A6_Thrive'!Print_Titles</vt:lpstr>
      <vt:lpstr>'5B2_RSD LA'!Print_Titles</vt:lpstr>
      <vt:lpstr>'5C1_NewType 2'!Print_Titles</vt:lpstr>
      <vt:lpstr>'7_Local Revenue'!Print_Titles</vt:lpstr>
      <vt:lpstr>'8_2.1.21 SIS'!Print_Titles</vt:lpstr>
      <vt:lpstr>'9_Per Pupil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Ruiz</dc:creator>
  <cp:lastModifiedBy>Melanie Ruiz</cp:lastModifiedBy>
  <dcterms:created xsi:type="dcterms:W3CDTF">2021-07-19T14:53:33Z</dcterms:created>
  <dcterms:modified xsi:type="dcterms:W3CDTF">2021-07-19T15:50:20Z</dcterms:modified>
</cp:coreProperties>
</file>